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J14" i="8" l="1"/>
  <c r="J13" i="8"/>
  <c r="M13" i="8" s="1"/>
  <c r="E13" i="8"/>
  <c r="F13" i="8"/>
  <c r="G13" i="8"/>
  <c r="H13" i="8"/>
  <c r="D13" i="8" s="1"/>
  <c r="I13" i="8"/>
  <c r="K13" i="8"/>
  <c r="L13" i="8"/>
  <c r="N13" i="8"/>
  <c r="R13" i="8"/>
  <c r="S13" i="8"/>
  <c r="W13" i="8"/>
  <c r="E14" i="8"/>
  <c r="F14" i="8"/>
  <c r="G14" i="8"/>
  <c r="H14" i="8"/>
  <c r="D14" i="8" s="1"/>
  <c r="I14" i="8"/>
  <c r="M14" i="8"/>
  <c r="K14" i="8"/>
  <c r="L14" i="8"/>
  <c r="N14" i="8"/>
  <c r="R14" i="8"/>
  <c r="S14" i="8"/>
  <c r="W14" i="8"/>
  <c r="B13" i="8"/>
  <c r="C13" i="8"/>
  <c r="B14" i="8"/>
  <c r="C14" i="8"/>
  <c r="F10" i="32"/>
  <c r="F9" i="32"/>
  <c r="G10" i="32"/>
  <c r="G9" i="32"/>
  <c r="B9" i="32"/>
  <c r="C9" i="32"/>
  <c r="B10" i="32"/>
  <c r="C10" i="32"/>
  <c r="O14" i="8" l="1"/>
  <c r="O13" i="8"/>
  <c r="P14" i="8"/>
  <c r="X14" i="8" s="1"/>
  <c r="V14" i="8"/>
  <c r="Y14" i="8"/>
  <c r="T14" i="8" s="1"/>
  <c r="U14" i="8" s="1"/>
  <c r="P13" i="8"/>
  <c r="X13" i="8" s="1"/>
  <c r="V13" i="8"/>
  <c r="Q13" i="8"/>
  <c r="Y13" i="8"/>
  <c r="T13" i="8" s="1"/>
  <c r="U13" i="8" s="1"/>
  <c r="D7" i="32"/>
  <c r="AB14" i="8" l="1"/>
  <c r="AB13" i="8"/>
  <c r="Z14" i="8"/>
  <c r="AA14" i="8" s="1"/>
  <c r="Z13" i="8"/>
  <c r="AA13" i="8" s="1"/>
  <c r="AC13" i="8" s="1"/>
  <c r="Q14" i="8"/>
  <c r="F8" i="32"/>
  <c r="E8" i="32"/>
  <c r="F7" i="32"/>
  <c r="F5" i="32"/>
  <c r="F6" i="32"/>
  <c r="E4" i="32"/>
  <c r="AC14" i="8" l="1"/>
  <c r="D8" i="32"/>
  <c r="AD2" i="32" l="1"/>
  <c r="Y25" i="32"/>
  <c r="B25" i="32"/>
  <c r="B24"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F12" i="32"/>
  <c r="G12" i="32" l="1"/>
  <c r="D10" i="8"/>
  <c r="G5" i="30"/>
  <c r="G4" i="30"/>
  <c r="D9" i="8"/>
  <c r="W9" i="8"/>
  <c r="W10"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W11" i="8" l="1"/>
  <c r="W12" i="8"/>
  <c r="C11" i="8"/>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3" i="32"/>
  <c r="F14" i="32"/>
  <c r="F15" i="32"/>
  <c r="F16" i="32"/>
  <c r="F17" i="32"/>
  <c r="F18" i="32"/>
  <c r="C5" i="32"/>
  <c r="C13" i="32"/>
  <c r="C14" i="32"/>
  <c r="C15" i="32"/>
  <c r="C16" i="32"/>
  <c r="C17" i="32"/>
  <c r="C18" i="32"/>
  <c r="B5" i="32"/>
  <c r="B13" i="32"/>
  <c r="B14" i="32"/>
  <c r="B15" i="32"/>
  <c r="B16" i="32"/>
  <c r="B17" i="32"/>
  <c r="B18"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8"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R36" i="8" s="1"/>
  <c r="D9" i="27"/>
  <c r="E9" i="27" s="1"/>
  <c r="D10" i="27"/>
  <c r="E10" i="27" s="1"/>
  <c r="D49" i="27"/>
  <c r="E49" i="27" s="1"/>
  <c r="R51" i="8" s="1"/>
  <c r="D25" i="27"/>
  <c r="E25" i="27" s="1"/>
  <c r="R27" i="8" s="1"/>
  <c r="D43" i="27"/>
  <c r="E43" i="27" s="1"/>
  <c r="R45" i="8" s="1"/>
  <c r="D23" i="27"/>
  <c r="E23" i="27" s="1"/>
  <c r="R25" i="8" s="1"/>
  <c r="D46" i="27"/>
  <c r="E46" i="27" s="1"/>
  <c r="R48" i="8" s="1"/>
  <c r="D36" i="27"/>
  <c r="E36" i="27" s="1"/>
  <c r="R38" i="8" s="1"/>
  <c r="D22" i="27"/>
  <c r="E22" i="27" s="1"/>
  <c r="R24" i="8" s="1"/>
  <c r="D37" i="27"/>
  <c r="E37" i="27" s="1"/>
  <c r="R39" i="8" s="1"/>
  <c r="D17" i="27"/>
  <c r="E17" i="27" s="1"/>
  <c r="R19" i="8" s="1"/>
  <c r="D31" i="27"/>
  <c r="E31" i="27" s="1"/>
  <c r="R33" i="8" s="1"/>
  <c r="D52" i="27"/>
  <c r="E52" i="27" s="1"/>
  <c r="R54" i="8" s="1"/>
  <c r="D42" i="27"/>
  <c r="E42" i="27" s="1"/>
  <c r="R44" i="8" s="1"/>
  <c r="D30" i="27"/>
  <c r="E30" i="27" s="1"/>
  <c r="R32" i="8" s="1"/>
  <c r="D53" i="27"/>
  <c r="E53" i="27" s="1"/>
  <c r="R55" i="8" s="1"/>
  <c r="D33" i="27"/>
  <c r="E33" i="27" s="1"/>
  <c r="R35" i="8" s="1"/>
  <c r="D47" i="27"/>
  <c r="E47" i="27" s="1"/>
  <c r="R49" i="8" s="1"/>
  <c r="D27" i="27"/>
  <c r="E27" i="27" s="1"/>
  <c r="R29" i="8" s="1"/>
  <c r="D50" i="27"/>
  <c r="E50" i="27" s="1"/>
  <c r="R52" i="8" s="1"/>
  <c r="D38" i="27"/>
  <c r="E38" i="27" s="1"/>
  <c r="R40" i="8" s="1"/>
  <c r="D26" i="27"/>
  <c r="E26" i="27" s="1"/>
  <c r="R28" i="8" s="1"/>
  <c r="D41" i="27"/>
  <c r="E41" i="27" s="1"/>
  <c r="R43" i="8" s="1"/>
  <c r="D21" i="27"/>
  <c r="E21" i="27" s="1"/>
  <c r="R23" i="8" s="1"/>
  <c r="D39" i="27"/>
  <c r="E39" i="27" s="1"/>
  <c r="R41" i="8" s="1"/>
  <c r="D15" i="27"/>
  <c r="E15" i="27" s="1"/>
  <c r="R17" i="8" s="1"/>
  <c r="D44" i="27"/>
  <c r="E44" i="27" s="1"/>
  <c r="R46" i="8" s="1"/>
  <c r="D20" i="27"/>
  <c r="E20" i="27" s="1"/>
  <c r="R22" i="8" s="1"/>
  <c r="R12" i="8"/>
  <c r="D7" i="27"/>
  <c r="E7" i="27" s="1"/>
  <c r="R9" i="8" s="1"/>
  <c r="D8" i="27"/>
  <c r="E8" i="27" s="1"/>
  <c r="R10" i="8" s="1"/>
  <c r="R11" i="8"/>
  <c r="M4" i="30"/>
  <c r="G7" i="27"/>
  <c r="M3" i="30"/>
  <c r="G6" i="27"/>
  <c r="D45" i="27"/>
  <c r="E45" i="27" s="1"/>
  <c r="R47" i="8" s="1"/>
  <c r="D29" i="27"/>
  <c r="E29" i="27" s="1"/>
  <c r="R31" i="8" s="1"/>
  <c r="D51" i="27"/>
  <c r="E51" i="27" s="1"/>
  <c r="R53" i="8" s="1"/>
  <c r="D35" i="27"/>
  <c r="E35" i="27" s="1"/>
  <c r="R37" i="8" s="1"/>
  <c r="D19" i="27"/>
  <c r="E19" i="27" s="1"/>
  <c r="R21" i="8" s="1"/>
  <c r="D48" i="27"/>
  <c r="E48" i="27" s="1"/>
  <c r="R50" i="8" s="1"/>
  <c r="D40" i="27"/>
  <c r="E40" i="27" s="1"/>
  <c r="R42" i="8" s="1"/>
  <c r="D32" i="27"/>
  <c r="E32" i="27" s="1"/>
  <c r="R34" i="8" s="1"/>
  <c r="D18" i="27"/>
  <c r="E18" i="27" s="1"/>
  <c r="R20" i="8" s="1"/>
  <c r="D24" i="27"/>
  <c r="E24" i="27" s="1"/>
  <c r="R26" i="8" s="1"/>
  <c r="D16" i="27"/>
  <c r="E16" i="27" s="1"/>
  <c r="R18" i="8" s="1"/>
  <c r="U9" i="30"/>
  <c r="U11" i="30"/>
  <c r="U5" i="30"/>
  <c r="S10" i="8" s="1"/>
  <c r="F6" i="27"/>
  <c r="D28" i="27"/>
  <c r="E28" i="27" s="1"/>
  <c r="R30" i="8" s="1"/>
  <c r="U10" i="30"/>
  <c r="U7" i="30"/>
  <c r="S12" i="8" s="1"/>
  <c r="U8" i="30"/>
  <c r="U6" i="30"/>
  <c r="S11" i="8" s="1"/>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K9" i="8"/>
  <c r="N9" i="8" s="1"/>
  <c r="O9" i="8" s="1"/>
  <c r="K11" i="8"/>
  <c r="N11" i="8" s="1"/>
  <c r="O11" i="8" s="1"/>
  <c r="V11" i="8" s="1"/>
  <c r="H56" i="27"/>
  <c r="K22" i="25"/>
  <c r="O3" i="30"/>
  <c r="I6" i="27"/>
  <c r="O4" i="30"/>
  <c r="I7" i="27"/>
  <c r="R8" i="8"/>
  <c r="R58" i="8" s="1"/>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Y9" i="8" l="1"/>
  <c r="V9" i="8"/>
  <c r="Y10" i="8"/>
  <c r="T10" i="8" s="1"/>
  <c r="U10" i="8" s="1"/>
  <c r="V10" i="8"/>
  <c r="O12" i="8"/>
  <c r="K8" i="8"/>
  <c r="N8" i="8" s="1"/>
  <c r="L8" i="8"/>
  <c r="P11" i="8"/>
  <c r="X11" i="8" s="1"/>
  <c r="P9" i="8"/>
  <c r="X9" i="8" s="1"/>
  <c r="Z9" i="8" s="1"/>
  <c r="Y11" i="8"/>
  <c r="T11" i="8" s="1"/>
  <c r="T9" i="8"/>
  <c r="P10" i="8"/>
  <c r="X10" i="8" s="1"/>
  <c r="AB10" i="8"/>
  <c r="K8" i="27" s="1"/>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Z10" i="8" l="1"/>
  <c r="AA10" i="8" s="1"/>
  <c r="V12" i="8"/>
  <c r="P12" i="8"/>
  <c r="U9" i="8"/>
  <c r="AB9" i="8" s="1"/>
  <c r="K7" i="27" s="1"/>
  <c r="U11" i="8"/>
  <c r="AB11" i="8" s="1"/>
  <c r="K9" i="27" s="1"/>
  <c r="X12" i="8"/>
  <c r="Y12" i="8"/>
  <c r="T12" i="8" s="1"/>
  <c r="Q9" i="8"/>
  <c r="O8" i="8"/>
  <c r="Q10" i="8"/>
  <c r="Z11" i="8"/>
  <c r="Q12"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AA11" i="8" l="1"/>
  <c r="AC11" i="8" s="1"/>
  <c r="D13" i="7" s="1"/>
  <c r="AA9" i="8"/>
  <c r="AC10" i="8"/>
  <c r="D12" i="7" s="1"/>
  <c r="U12" i="8"/>
  <c r="AB12" i="8" s="1"/>
  <c r="K10" i="27" s="1"/>
  <c r="V8" i="8"/>
  <c r="V58" i="8" s="1"/>
  <c r="Y16" i="29" s="1"/>
  <c r="Z12" i="8"/>
  <c r="AC9" i="8"/>
  <c r="D11" i="7" s="1"/>
  <c r="P8" i="8"/>
  <c r="P58" i="8" s="1"/>
  <c r="S13" i="29" s="1"/>
  <c r="Y8" i="8"/>
  <c r="O58" i="8"/>
  <c r="X18" i="24" s="1"/>
  <c r="Y20" i="29" s="1"/>
  <c r="R4" i="30"/>
  <c r="L7" i="27"/>
  <c r="R3" i="30"/>
  <c r="S3" i="30" s="1"/>
  <c r="L6" i="27"/>
  <c r="AA12" i="8" l="1"/>
  <c r="AC12" i="8" s="1"/>
  <c r="D14" i="7" s="1"/>
  <c r="Y18" i="29"/>
  <c r="X8" i="8"/>
  <c r="X58" i="8" s="1"/>
  <c r="AK18" i="24"/>
  <c r="Y22" i="29" s="1"/>
  <c r="Q8" i="8"/>
  <c r="Q58" i="8" s="1"/>
  <c r="T8" i="8"/>
  <c r="Y58" i="8"/>
  <c r="S12" i="29"/>
  <c r="E40" i="29" s="1"/>
  <c r="L56" i="27"/>
  <c r="T3" i="30"/>
  <c r="O6" i="27" s="1"/>
  <c r="N6" i="27"/>
  <c r="M7" i="27"/>
  <c r="S4" i="30"/>
  <c r="M6" i="27"/>
  <c r="X25" i="24"/>
  <c r="X19" i="24"/>
  <c r="AK19" i="24" s="1"/>
  <c r="U8" i="8" l="1"/>
  <c r="AB8" i="8" s="1"/>
  <c r="Z8" i="8"/>
  <c r="Z58" i="8" s="1"/>
  <c r="Y19" i="29"/>
  <c r="AM18" i="29" s="1"/>
  <c r="S34" i="29"/>
  <c r="U3" i="30"/>
  <c r="S8" i="8" s="1"/>
  <c r="M56" i="27"/>
  <c r="T4" i="30"/>
  <c r="O7" i="27" s="1"/>
  <c r="O56" i="27" s="1"/>
  <c r="N7" i="27"/>
  <c r="N56" i="27" s="1"/>
  <c r="X20" i="24"/>
  <c r="AK20" i="24" s="1"/>
  <c r="U58" i="8" l="1"/>
  <c r="Y15" i="29" s="1"/>
  <c r="K6" i="27"/>
  <c r="K56" i="27" s="1"/>
  <c r="AB58" i="8"/>
  <c r="S14" i="29" s="1"/>
  <c r="S33" i="29" s="1"/>
  <c r="AA8" i="8"/>
  <c r="AC8" i="8" s="1"/>
  <c r="U4" i="30"/>
  <c r="S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K9" i="25"/>
  <c r="AC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<sst xmlns="http://schemas.openxmlformats.org/spreadsheetml/2006/main" count="402" uniqueCount="320">
  <si>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</si>
  <si>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</si>
  <si>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</si>
  <si>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</si>
  <si>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</si>
  <si>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</si>
  <si>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</si>
  <si>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</si>
  <si>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</si>
  <si>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</si>
  <si>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</si>
  <si>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</si>
  <si>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</si>
  <si>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</si>
  <si>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</si>
  <si>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</si>
  <si>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</si>
  <si>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</si>
  <si>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</si>
  <si>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</si>
  <si>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</si>
  <si>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</si>
  <si>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</si>
  <si>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</si>
  <si>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</si>
  <si>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</si>
  <si>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</si>
  <si>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</si>
  <si>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</si>
  <si>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</si>
  <si>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</si>
  <si>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</si>
  <si>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</si>
  <si>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</si>
  <si>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</si>
  <si>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</si>
  <si>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</si>
  <si>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</si>
  <si>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</si>
  <si>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</si>
  <si>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</si>
  <si>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</si>
  <si>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</si>
  <si>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</si>
  <si>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</si>
  <si>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</si>
  <si>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</si>
  <si>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</si>
  <si>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</si>
  <si>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</si>
  <si>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</si>
  <si>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</si>
  <si>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</si>
  <si>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</si>
  <si>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</si>
  <si>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</si>
  <si>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</si>
  <si>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</si>
  <si>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</si>
  <si>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</si>
  <si>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</si>
  <si>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</si>
  <si>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</si>
  <si>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</si>
  <si>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</si>
  <si>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</si>
  <si>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</si>
  <si>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</si>
  <si>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</si>
  <si>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</si>
  <si>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</si>
  <si>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</si>
  <si>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</si>
  <si>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</si>
  <si>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</si>
  <si>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</si>
  <si>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</si>
  <si>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</si>
  <si>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</si>
  <si>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</si>
  <si>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</si>
  <si>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</si>
  <si>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</si>
  <si>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</si>
  <si>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</si>
  <si>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</si>
  <si>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</si>
  <si>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</si>
  <si>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</si>
  <si>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</si>
  <si>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</si>
  <si>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</si>
  <si>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</si>
  <si>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</si>
  <si>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</si>
  <si>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</si>
  <si>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</si>
  <si>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</si>
  <si>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</si>
  <si>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</si>
  <si>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</si>
  <si>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</si>
  <si>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</si>
  <si>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</si>
  <si>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</si>
  <si>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</si>
  <si>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</si>
  <si>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</si>
  <si>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</si>
  <si>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</si>
  <si>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</si>
  <si>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</si>
  <si>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</si>
  <si>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</si>
  <si>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</si>
  <si>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</si>
  <si>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</si>
  <si>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</si>
  <si>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</si>
  <si>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</si>
  <si>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</si>
  <si>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</si>
  <si>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</si>
  <si>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</si>
  <si>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</si>
  <si>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</si>
  <si>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</si>
  <si>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</si>
  <si>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</si>
  <si>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</si>
  <si>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</si>
  <si>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</si>
  <si>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</si>
  <si>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</si>
  <si>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</si>
  <si>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</si>
  <si>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</si>
  <si>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</si>
  <si>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</si>
  <si>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</si>
  <si>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</si>
  <si>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</si>
  <si>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</si>
  <si>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</si>
  <si>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</si>
  <si>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</si>
  <si>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</si>
  <si>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</si>
  <si>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</si>
  <si>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</si>
  <si>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</si>
  <si>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</si>
  <si>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</si>
  <si>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</si>
  <si>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</si>
  <si>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</si>
  <si>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</si>
  <si>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</si>
  <si>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</si>
  <si>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</si>
  <si>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</si>
  <si>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</si>
  <si>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</si>
  <si>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</si>
  <si>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</si>
  <si>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</si>
  <si>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</si>
  <si>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</si>
  <si>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</si>
  <si>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</si>
  <si>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</si>
  <si>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</si>
  <si>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</si>
  <si>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</si>
  <si>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</si>
  <si>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</si>
  <si>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</si>
  <si>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</si>
  <si>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</si>
  <si>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</si>
  <si>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</si>
  <si>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</si>
  <si>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</si>
  <si>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</si>
  <si>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</si>
  <si>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</si>
  <si>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</si>
  <si>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</si>
  <si>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</si>
  <si>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</si>
  <si>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</si>
  <si>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</si>
  <si>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</si>
  <si>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</si>
  <si>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</si>
  <si>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</si>
  <si>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</si>
  <si>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</si>
  <si>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</si>
  <si>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</si>
  <si>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</si>
  <si>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</si>
  <si>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</si>
  <si>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</si>
  <si>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</si>
  <si>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</si>
  <si>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</si>
  <si>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</si>
  <si>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</si>
  <si>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</si>
  <si>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</si>
  <si>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</si>
  <si>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</si>
  <si>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</si>
  <si>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</si>
  <si>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</si>
  <si>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</si>
  <si>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</si>
  <si>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</si>
  <si>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</si>
  <si>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</si>
  <si>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</si>
  <si>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</si>
  <si>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</si>
  <si>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</si>
  <si>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</si>
  <si>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</si>
  <si>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</si>
  <si>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</si>
  <si>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</si>
  <si>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</si>
  <si>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</si>
  <si>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</si>
  <si>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</si>
  <si>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</si>
  <si>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</si>
  <si>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</si>
  <si>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</si>
  <si>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</si>
  <si>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</si>
  <si>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</si>
  <si>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</si>
  <si>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</si>
  <si>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</si>
  <si>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</si>
  <si>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</si>
  <si>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</si>
  <si>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</si>
  <si>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</si>
  <si>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</si>
  <si>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</si>
  <si>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</si>
  <si>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</si>
  <si>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</si>
  <si>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</si>
  <si>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</si>
  <si>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</si>
  <si>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</si>
  <si>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</si>
  <si>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</si>
  <si>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</si>
  <si>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</si>
  <si>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</si>
  <si>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</si>
  <si>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</si>
  <si>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</si>
  <si>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</si>
  <si>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</si>
  <si>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</si>
  <si>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</si>
  <si>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</si>
  <si>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</si>
  <si>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</si>
  <si>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</si>
  <si>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</si>
  <si>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</si>
  <si>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</si>
  <si>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</si>
  <si>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</si>
  <si>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</si>
  <si>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</si>
  <si>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</si>
  <si>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</si>
  <si>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</si>
  <si>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</si>
  <si>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</si>
  <si>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</si>
  <si>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</si>
  <si>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</si>
  <si>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</si>
  <si>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</si>
  <si>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</si>
  <si>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</si>
  <si>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</si>
  <si>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</si>
  <si>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</si>
  <si>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</si>
  <si>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</si>
  <si>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</si>
  <si>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</si>
  <si>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</si>
  <si>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</si>
  <si>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</si>
  <si>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</si>
  <si>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</si>
  <si>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</si>
  <si>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</si>
  <si>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</si>
  <si>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</si>
  <si>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</si>
  <si>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</si>
  <si>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</si>
  <si>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</si>
  <si>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</si>
  <si>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</si>
  <si>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</si>
  <si>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</si>
  <si>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</si>
  <si>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Bazı öğretmenlerimize  20 Ocak'ta sehven yazılmayan 26 saatlik ek ders, 24 şubat'a eklenmiştir. </t>
  </si>
  <si>
    <t xml:space="preserve">Gece/hafta sonu dersleri koyu, özel eğitim dersleri altı çizili olarak gösterilmiştir.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</si>
</sst>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61"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sz val="10"/>
      <color theme="0"/>
      <name val="Arial"/>
      <family val="2"/>
      <charset val="162"/>
    </font>
    <font>
      <u/>
      <sz val="10"/>
      <name val="Arial"/>
      <family val="2"/>
      <charset val="162"/>
    </font>
    <font>
      <u/>
      <sz val="9"/>
      <name val="Arial"/>
      <family val="2"/>
      <charset val="162"/>
    </font>
    <font>
      <sz val="7"/>
      <name val="Arial"/>
      <family val="2"/>
    </font>
    <font>
      <b/>
      <i/>
      <sz val="9"/>
      <color rgb="FFFF0000"/>
      <name val="Arial"/>
      <family val="2"/>
      <charset val="162"/>
    </font>
    <font>
      <b/>
      <i/>
      <sz val="10"/>
      <color rgb="FFFF0000"/>
      <name val="Arial"/>
      <family val="2"/>
      <charset val="162"/>
    </font>
    <font>
      <sz val="6"/>
      <name val="Arial Tur"/>
      <charset val="162"/>
    </font>
    <font>
      <sz val="7"/>
      <name val="Arial Tur"/>
      <charset val="162"/>
    </font>
    <font>
      <i/>
      <sz val="9"/>
      <color rgb="FFFF0000"/>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4">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8"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3" fontId="48" fillId="0" borderId="1" xfId="0" applyNumberFormat="1" applyFont="1" applyBorder="1" applyAlignment="1">
      <alignment horizontal="left" vertical="center"/>
    </xf>
    <xf numFmtId="167" fontId="48" fillId="0" borderId="1" xfId="0" applyNumberFormat="1" applyFont="1" applyBorder="1" applyAlignment="1">
      <alignment horizontal="center"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8" fillId="0" borderId="10" xfId="0" applyNumberFormat="1" applyFont="1" applyBorder="1" applyAlignment="1">
      <alignment horizontal="right" vertical="center"/>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2" fillId="0" borderId="1" xfId="0" applyFont="1" applyBorder="1" applyAlignment="1">
      <alignment horizontal="center" vertical="center"/>
    </xf>
    <xf numFmtId="0" fontId="9" fillId="0" borderId="1" xfId="0" applyFont="1" applyBorder="1" applyAlignment="1">
      <alignment horizontal="left" vertical="center"/>
    </xf>
    <xf numFmtId="0" fontId="53" fillId="0" borderId="1" xfId="0" applyFont="1" applyFill="1" applyBorder="1" applyAlignment="1">
      <alignment horizontal="center"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4" fillId="8" borderId="1" xfId="0" applyFont="1" applyFill="1" applyBorder="1" applyAlignment="1">
      <alignment horizontal="center" vertical="center"/>
    </xf>
    <xf numFmtId="0" fontId="54" fillId="0" borderId="1" xfId="0" applyFont="1" applyFill="1" applyBorder="1" applyAlignment="1">
      <alignment horizontal="center" vertical="center"/>
    </xf>
    <xf numFmtId="0" fontId="56" fillId="8" borderId="1" xfId="0" applyFont="1" applyFill="1" applyBorder="1" applyAlignment="1">
      <alignment horizontal="center" vertical="center"/>
    </xf>
    <xf numFmtId="0" fontId="57" fillId="0" borderId="1" xfId="0" applyFont="1" applyFill="1" applyBorder="1" applyAlignment="1">
      <alignment horizontal="center" vertical="center"/>
    </xf>
    <xf numFmtId="0" fontId="55" fillId="0" borderId="1" xfId="0" applyFont="1" applyFill="1" applyBorder="1" applyAlignment="1">
      <alignment horizontal="center"/>
    </xf>
    <xf numFmtId="0" fontId="55" fillId="13" borderId="1" xfId="0" applyFont="1" applyFill="1" applyBorder="1" applyAlignment="1">
      <alignment horizontal="center"/>
    </xf>
    <xf numFmtId="0" fontId="55" fillId="8" borderId="1" xfId="0" applyFont="1" applyFill="1" applyBorder="1" applyAlignment="1">
      <alignment horizontal="center"/>
    </xf>
    <xf numFmtId="0" fontId="55" fillId="17" borderId="1" xfId="0" applyFont="1" applyFill="1" applyBorder="1" applyAlignment="1">
      <alignment horizontal="center"/>
    </xf>
    <xf numFmtId="164" fontId="55" fillId="17" borderId="1" xfId="0" applyNumberFormat="1" applyFont="1" applyFill="1" applyBorder="1" applyAlignment="1">
      <alignment horizontal="right"/>
    </xf>
    <xf numFmtId="164" fontId="55" fillId="13" borderId="1" xfId="0" applyNumberFormat="1" applyFont="1" applyFill="1" applyBorder="1" applyAlignment="1">
      <alignment horizontal="right"/>
    </xf>
    <xf numFmtId="164" fontId="55" fillId="8" borderId="1" xfId="0" applyNumberFormat="1" applyFont="1" applyFill="1" applyBorder="1" applyAlignment="1">
      <alignment horizontal="right"/>
    </xf>
    <xf numFmtId="4" fontId="55" fillId="17" borderId="1" xfId="0" applyNumberFormat="1" applyFont="1" applyFill="1" applyBorder="1" applyAlignment="1">
      <alignment horizontal="right"/>
    </xf>
    <xf numFmtId="4" fontId="55" fillId="13" borderId="1" xfId="0" applyNumberFormat="1" applyFont="1" applyFill="1" applyBorder="1" applyAlignment="1">
      <alignment horizontal="right"/>
    </xf>
    <xf numFmtId="4" fontId="55" fillId="8" borderId="1" xfId="0" applyNumberFormat="1" applyFont="1" applyFill="1" applyBorder="1" applyAlignment="1">
      <alignment horizontal="right"/>
    </xf>
    <xf numFmtId="4" fontId="55" fillId="0" borderId="1" xfId="0" applyNumberFormat="1" applyFont="1" applyFill="1" applyBorder="1" applyAlignment="1">
      <alignment horizontal="right"/>
    </xf>
    <xf numFmtId="1" fontId="58" fillId="0" borderId="1" xfId="0" applyNumberFormat="1" applyFont="1" applyFill="1" applyBorder="1" applyAlignment="1">
      <alignment vertical="center"/>
    </xf>
    <xf numFmtId="1" fontId="59"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60" fillId="8" borderId="1" xfId="0" applyFont="1" applyFill="1" applyBorder="1" applyAlignment="1">
      <alignment horizontal="center" vertical="center"/>
    </xf>
    <xf numFmtId="0" fontId="60" fillId="0" borderId="1" xfId="0" applyFont="1" applyFill="1" applyBorder="1" applyAlignment="1">
      <alignment horizontal="center" vertical="center"/>
    </xf>
    <xf numFmtId="0" fontId="11" fillId="0" borderId="1" xfId="0" applyFont="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0" xfId="0" applyBorder="1" applyAlignment="1"/>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0" xfId="0" applyFont="1" applyFill="1" applyAlignment="1">
      <alignment horizontal="center"/>
    </xf>
    <xf numFmtId="0" fontId="55" fillId="0" borderId="0" xfId="0" applyFont="1" applyFill="1" applyAlignment="1">
      <alignment horizontal="left"/>
    </xf>
    <xf numFmtId="0" fontId="55" fillId="0" borderId="0" xfId="0" applyFont="1" applyFill="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5" fillId="0" borderId="10" xfId="0" applyFont="1" applyFill="1" applyBorder="1" applyAlignment="1">
      <alignment horizontal="left"/>
    </xf>
    <xf numFmtId="0" fontId="55"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41" fillId="0" borderId="14"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0" fontId="3" fillId="0" borderId="1" xfId="0" applyFont="1" applyFill="1" applyBorder="1" applyAlignment="1">
      <alignment horizontal="left"/>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Alignment="1">
      <alignment horizontal="left" wrapText="1"/>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51"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30" zoomScaleNormal="130" workbookViewId="0">
      <selection activeCell="C6" sqref="C6"/>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126</v>
      </c>
    </row>
    <row r="2" spans="1:7" x14ac:dyDescent="0.2">
      <c r="A2" s="91" t="s">
        <v>220</v>
      </c>
      <c r="B2" s="26"/>
      <c r="C2" s="94">
        <v>2022</v>
      </c>
    </row>
    <row r="3" spans="1:7" x14ac:dyDescent="0.2">
      <c r="A3" s="91" t="s">
        <v>216</v>
      </c>
      <c r="B3" s="92"/>
      <c r="C3" s="178">
        <v>5004</v>
      </c>
      <c r="D3" s="183"/>
      <c r="E3" s="180"/>
      <c r="F3" s="180"/>
      <c r="G3" s="180"/>
    </row>
    <row r="4" spans="1:7" x14ac:dyDescent="0.2">
      <c r="A4" s="91" t="s">
        <v>217</v>
      </c>
      <c r="B4" s="92"/>
      <c r="C4" s="179">
        <v>166.8</v>
      </c>
      <c r="D4" s="184"/>
      <c r="E4" s="181"/>
      <c r="F4" s="181"/>
      <c r="G4" s="181"/>
    </row>
    <row r="5" spans="1:7" x14ac:dyDescent="0.2">
      <c r="A5" s="91" t="s">
        <v>198</v>
      </c>
      <c r="B5" s="92"/>
      <c r="C5" s="179">
        <v>60048</v>
      </c>
      <c r="D5" s="184"/>
      <c r="E5" s="181"/>
      <c r="F5" s="181"/>
      <c r="G5" s="181"/>
    </row>
    <row r="6" spans="1:7" x14ac:dyDescent="0.2">
      <c r="A6" s="91" t="s">
        <v>218</v>
      </c>
      <c r="B6" s="92"/>
      <c r="C6" s="190">
        <v>0.23544499999999999</v>
      </c>
      <c r="D6" s="185"/>
      <c r="E6" s="182"/>
      <c r="F6" s="182"/>
      <c r="G6" s="182"/>
    </row>
    <row r="8" spans="1:7" x14ac:dyDescent="0.2">
      <c r="C8" s="189"/>
    </row>
    <row r="9" spans="1:7" x14ac:dyDescent="0.2">
      <c r="C9" s="188"/>
    </row>
    <row r="10" spans="1:7" x14ac:dyDescent="0.2">
      <c r="C10" s="188"/>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23245.919999999998</v>
      </c>
      <c r="B1" s="14"/>
      <c r="C1" s="680"/>
      <c r="D1" s="680"/>
      <c r="G1" s="25">
        <f>'ÖDEME EMRİ'!Q40</f>
        <v>16590.399999999998</v>
      </c>
      <c r="H1" s="14"/>
      <c r="I1" s="680"/>
      <c r="J1" s="680"/>
    </row>
    <row r="7" spans="1:12" ht="13.5" customHeight="1" thickBot="1" x14ac:dyDescent="0.25"/>
    <row r="8" spans="1:12" ht="13.5" thickBot="1" x14ac:dyDescent="0.25">
      <c r="A8" s="15">
        <f>A1</f>
        <v>23245.919999999998</v>
      </c>
      <c r="B8" s="16"/>
      <c r="C8" s="17"/>
      <c r="D8" s="17"/>
      <c r="E8" s="17"/>
      <c r="F8" s="18"/>
      <c r="G8" s="15">
        <f>G1</f>
        <v>16590.399999999998</v>
      </c>
      <c r="H8" s="16"/>
      <c r="I8" s="17"/>
      <c r="J8" s="17"/>
      <c r="K8" s="17"/>
      <c r="L8" s="18"/>
    </row>
    <row r="9" spans="1:12" ht="13.5" thickBot="1" x14ac:dyDescent="0.25">
      <c r="A9" s="19">
        <f>MOD(A8,100000000)</f>
        <v>23245.919999999998</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16590.399999999998</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23245.919999999998</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16590.399999999998</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23245.919999999998</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16590.399999999998</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23245.919999999998</v>
      </c>
      <c r="B12" s="20"/>
      <c r="C12" s="20" t="str">
        <f>IF(A12&lt;10000,"",IF(A12&lt;20000,"on",IF(A12&lt;30000,"yirmi",IF(A12&lt;40000,"otuz",IF(A12&lt;50000,"kırk",IF(A12&lt;60000,"elli",""))))))</f>
        <v>yirmi</v>
      </c>
      <c r="D12" s="20" t="str">
        <f>IF(A12&gt;=100000,"",IF(A12&gt;=90000,"doksan",IF(A12&gt;=80000,"seksen",IF(A12&gt;=70000,"yetmiş",IF(A12&gt;=60000,"altmış","")))))</f>
        <v/>
      </c>
      <c r="E12" s="20" t="str">
        <f>C12&amp;D12&amp;IF(E13="",F12,"")</f>
        <v>yirmi</v>
      </c>
      <c r="F12" s="22" t="str">
        <f>IF(E11="","","bin")</f>
        <v/>
      </c>
      <c r="G12" s="19">
        <f>MOD(G11,100000)</f>
        <v>16590.399999999998</v>
      </c>
      <c r="H12" s="20"/>
      <c r="I12" s="20" t="str">
        <f>IF(G12&lt;10000,"",IF(G12&lt;20000,"on",IF(G12&lt;30000,"yirmi",IF(G12&lt;40000,"otuz",IF(G12&lt;50000,"kırk",IF(G12&lt;60000,"elli",""))))))</f>
        <v>on</v>
      </c>
      <c r="J12" s="20" t="str">
        <f>IF(G12&gt;=100000,"",IF(G12&gt;=90000,"doksan",IF(G12&gt;=80000,"seksen",IF(G12&gt;=70000,"yetmiş",IF(G12&gt;=60000,"altmış","")))))</f>
        <v/>
      </c>
      <c r="K12" s="20" t="str">
        <f>I12&amp;J12&amp;IF(K13="",L12,"")</f>
        <v>on</v>
      </c>
      <c r="L12" s="22" t="str">
        <f>IF(K11="","","bin")</f>
        <v/>
      </c>
    </row>
    <row r="13" spans="1:12" ht="13.5" thickBot="1" x14ac:dyDescent="0.25">
      <c r="A13" s="19">
        <f>MOD(A12,10000)</f>
        <v>3245.9199999999983</v>
      </c>
      <c r="B13" s="20"/>
      <c r="C13" s="20" t="str">
        <f>IF(A13&lt;1000,"",IF(A13&lt;2000,"bin",IF(A13&lt;3000,"ikibin",IF(A13&lt;4000,"üçbin",IF(A13&lt;5000,"dörtbin",IF(A13&lt;6000,"beşbin",""))))))</f>
        <v>üçbin</v>
      </c>
      <c r="D13" s="20" t="str">
        <f>IF(A13&gt;=10000,"",IF(A13&gt;=9000,"dokuzbin",IF(A13&gt;=8000,"sekizbin",IF(A13&gt;=7000,"yedibin",IF(A13&gt;=6000,"altıbin","")))))</f>
        <v/>
      </c>
      <c r="E13" s="20" t="str">
        <f>IF(A12&lt;1000,"",C13&amp;D13)</f>
        <v>üçbin</v>
      </c>
      <c r="F13" s="22"/>
      <c r="G13" s="19">
        <f>MOD(G12,10000)</f>
        <v>6590.3999999999978</v>
      </c>
      <c r="H13" s="20"/>
      <c r="I13" s="20" t="str">
        <f>IF(G13&lt;1000,"",IF(G13&lt;2000,"bin",IF(G13&lt;3000,"ikibin",IF(G13&lt;4000,"üçbin",IF(G13&lt;5000,"dörtbin",IF(G13&lt;6000,"beşbin",""))))))</f>
        <v/>
      </c>
      <c r="J13" s="20" t="str">
        <f>IF(G13&gt;=10000,"",IF(G13&gt;=9000,"dokuzbin",IF(G13&gt;=8000,"sekizbin",IF(G13&gt;=7000,"yedibin",IF(G13&gt;=6000,"altıbin","")))))</f>
        <v>altıbin</v>
      </c>
      <c r="K13" s="20" t="str">
        <f>IF(G12&lt;1000,"",I13&amp;J13)</f>
        <v>altıbin</v>
      </c>
      <c r="L13" s="22"/>
    </row>
    <row r="14" spans="1:12" ht="13.5" thickBot="1" x14ac:dyDescent="0.25">
      <c r="A14" s="19">
        <f>MOD(A13,1000)</f>
        <v>245.91999999999825</v>
      </c>
      <c r="B14" s="20"/>
      <c r="C14" s="20" t="str">
        <f>IF(A14&lt;100,"",IF(A14&lt;200,"yüz",IF(A14&lt;300,"ikiyüz",IF(A14&lt;400,"üçyüz",IF(A14&lt;500,"dörtyüz",IF(A14&lt;600,"beşyüz",""))))))</f>
        <v>ikiyüz</v>
      </c>
      <c r="D14" s="20" t="str">
        <f>IF(A14&gt;=1000,"",IF(A14&gt;=900,"dokuzyüz",IF(A14&gt;=800,"sekizyüz",IF(A14&gt;=700,"yediyüz",IF(A14&gt;=600,"altıyüz","")))))</f>
        <v/>
      </c>
      <c r="E14" s="20" t="str">
        <f>C14&amp;D14</f>
        <v>ikiyüz</v>
      </c>
      <c r="F14" s="22"/>
      <c r="G14" s="19">
        <f>MOD(G13,1000)</f>
        <v>590.39999999999782</v>
      </c>
      <c r="H14" s="20"/>
      <c r="I14" s="20" t="str">
        <f>IF(G14&lt;100,"",IF(G14&lt;200,"yüz",IF(G14&lt;300,"ikiyüz",IF(G14&lt;400,"üçyüz",IF(G14&lt;500,"dörtyüz",IF(G14&lt;600,"beşyüz",""))))))</f>
        <v>beşyüz</v>
      </c>
      <c r="J14" s="20" t="str">
        <f>IF(G14&gt;=1000,"",IF(G14&gt;=900,"dokuzyüz",IF(G14&gt;=800,"sekizyüz",IF(G14&gt;=700,"yediyüz",IF(G14&gt;=600,"altıyüz","")))))</f>
        <v/>
      </c>
      <c r="K14" s="20" t="str">
        <f>I14&amp;J14</f>
        <v>beşyüz</v>
      </c>
      <c r="L14" s="22"/>
    </row>
    <row r="15" spans="1:12" ht="13.5" thickBot="1" x14ac:dyDescent="0.25">
      <c r="A15" s="19">
        <f>MOD(A14,100)</f>
        <v>45.919999999998254</v>
      </c>
      <c r="B15" s="20"/>
      <c r="C15" s="20" t="str">
        <f>IF(A15&lt;10,"",IF(A15&lt;20,"on",IF(A15&lt;30,"yirmi",IF(A15&lt;40,"otuz",IF(A15&lt;50,"kırk",IF(A15&lt;60,"elli",""))))))</f>
        <v>kırk</v>
      </c>
      <c r="D15" s="20" t="str">
        <f>IF(A15&gt;=100,"",IF(A15&gt;=90,"doksan",IF(A15&gt;=80,"seksen",IF(A15&gt;=70,"yetmiş",IF(A15&gt;=60,"altmış","")))))</f>
        <v/>
      </c>
      <c r="E15" s="20" t="str">
        <f>C15&amp;D15</f>
        <v>kırk</v>
      </c>
      <c r="F15" s="22" t="str">
        <f>IF(E14="","","")</f>
        <v/>
      </c>
      <c r="G15" s="19">
        <f>MOD(G14,100)</f>
        <v>90.399999999997817</v>
      </c>
      <c r="H15" s="20"/>
      <c r="I15" s="20" t="str">
        <f>IF(G15&lt;10,"",IF(G15&lt;20,"on",IF(G15&lt;30,"yirmi",IF(G15&lt;40,"otuz",IF(G15&lt;50,"kırk",IF(G15&lt;60,"elli",""))))))</f>
        <v/>
      </c>
      <c r="J15" s="20" t="str">
        <f>IF(G15&gt;=100,"",IF(G15&gt;=90,"doksan",IF(G15&gt;=80,"seksen",IF(G15&gt;=70,"yetmiş",IF(G15&gt;=60,"altmış","")))))</f>
        <v>doksan</v>
      </c>
      <c r="K15" s="20" t="str">
        <f>I15&amp;J15</f>
        <v>doksan</v>
      </c>
      <c r="L15" s="22" t="str">
        <f>IF(K14="","","")</f>
        <v/>
      </c>
    </row>
    <row r="16" spans="1:12" ht="13.5" thickBot="1" x14ac:dyDescent="0.25">
      <c r="A16" s="19">
        <f>MOD(A15,10)</f>
        <v>5.9199999999982538</v>
      </c>
      <c r="B16" s="20"/>
      <c r="C16" s="20" t="str">
        <f>IF(A16&lt;1,"",IF(A16&lt;2,"bir",IF(A16&lt;3,"iki",IF(A16&lt;4,"üç",IF(A16&lt;5,"dört",IF(A16&lt;6,"beş",""))))))</f>
        <v>beş</v>
      </c>
      <c r="D16" s="20" t="str">
        <f>IF(A16&gt;=10,"",IF(A16&gt;=9,"dokuz",IF(A16&gt;=8,"sekiz",IF(A16&gt;=7,"yedi",IF(A16&gt;=6,"altı","")))))</f>
        <v/>
      </c>
      <c r="E16" s="20" t="str">
        <f>IF(A15&lt;1,"",C16&amp;D16)</f>
        <v>beş</v>
      </c>
      <c r="F16" s="22"/>
      <c r="G16" s="19">
        <f>MOD(G15,10)</f>
        <v>0.39999999999781721</v>
      </c>
      <c r="H16" s="20"/>
      <c r="I16" s="20" t="str">
        <f>IF(G16&lt;1,"",IF(G16&lt;2,"bir",IF(G16&lt;3,"iki",IF(G16&lt;4,"üç",IF(G16&lt;5,"dört",IF(G16&lt;6,"beş",""))))))</f>
        <v/>
      </c>
      <c r="J16" s="20" t="str">
        <f>IF(G16&gt;=10,"",IF(G16&gt;=9,"dokuz",IF(G16&gt;=8,"sekiz",IF(G16&gt;=7,"yedi",IF(G16&gt;=6,"altı","")))))</f>
        <v/>
      </c>
      <c r="K16" s="20" t="str">
        <f>IF(G15&lt;1,"",I16&amp;J16)</f>
        <v/>
      </c>
      <c r="L16" s="22"/>
    </row>
    <row r="17" spans="1:12" ht="13.5" thickBot="1" x14ac:dyDescent="0.25">
      <c r="A17" s="19">
        <f>ROUND(MOD(A16,1),2)</f>
        <v>0.92</v>
      </c>
      <c r="B17" s="20"/>
      <c r="C17" s="20" t="str">
        <f>IF(A17&lt;0.1,"",IF(A17&lt;0.2,"on",IF(A17&lt;0.3,"yirmi",IF(A17&lt;0.4,"otuz",IF(A17&lt;0.5,"kırk",IF(A17&lt;0.6,"elli",""))))))</f>
        <v/>
      </c>
      <c r="D17" s="20" t="str">
        <f>IF(A17&gt;=1,"",IF(A17&gt;=0.9,"doksan",IF(A17&gt;=0.8,"seksen",IF(A17&gt;=0.7,"yetmiş",IF(A17&gt;=0.6,"altmış","")))))</f>
        <v>doksan</v>
      </c>
      <c r="E17" s="20" t="str">
        <f>C17&amp;D17</f>
        <v>doksan</v>
      </c>
      <c r="F17" s="22" t="s">
        <v>200</v>
      </c>
      <c r="G17" s="19">
        <f>ROUND(MOD(G16,1),2)</f>
        <v>0.4</v>
      </c>
      <c r="H17" s="20"/>
      <c r="I17" s="20" t="str">
        <f>IF(G17&lt;0.1,"",IF(G17&lt;0.2,"on",IF(G17&lt;0.3,"yirmi",IF(G17&lt;0.4,"otuz",IF(G17&lt;0.5,"kırk",IF(G17&lt;0.6,"elli",""))))))</f>
        <v>kırk</v>
      </c>
      <c r="J17" s="20" t="str">
        <f>IF(G17&gt;=1,"",IF(G17&gt;=0.9,"doksan",IF(G17&gt;=0.8,"seksen",IF(G17&gt;=0.7,"yetmiş",IF(G17&gt;=0.6,"altmış","")))))</f>
        <v/>
      </c>
      <c r="K17" s="20" t="str">
        <f>I17&amp;J17</f>
        <v>kırk</v>
      </c>
      <c r="L17" s="22" t="s">
        <v>200</v>
      </c>
    </row>
    <row r="18" spans="1:12" ht="13.5" thickBot="1" x14ac:dyDescent="0.25">
      <c r="A18" s="19">
        <f>ROUND(MOD(A17,0.1),2)</f>
        <v>0.02</v>
      </c>
      <c r="B18" s="20"/>
      <c r="C18" s="20" t="str">
        <f>IF(A18&lt;0.01,"",IF(A18&lt;0.02,"bir",IF(A18&lt;0.03,"iki",IF(A18&lt;0.04,"üç",IF(A18&lt;0.05,"dört",IF(A18&lt;0.06,"beş",""))))))</f>
        <v>iki</v>
      </c>
      <c r="D18" s="20" t="str">
        <f>IF(A18&gt;=0.1,"",IF(A18&gt;=0.09,"dokuz",IF(A18&gt;=0.08,"sekiz",IF(A18&gt;=0.07,"yedi",IF(A18&gt;=0.06,"altı","")))))</f>
        <v/>
      </c>
      <c r="E18" s="20" t="str">
        <f>C18&amp;D18</f>
        <v>iki</v>
      </c>
      <c r="F18" s="22" t="s">
        <v>201</v>
      </c>
      <c r="G18" s="19">
        <f>ROUND(MOD(G17,0.1),2)</f>
        <v>0</v>
      </c>
      <c r="H18" s="20"/>
      <c r="I18" s="20" t="str">
        <f>IF(G18&lt;0.01,"",IF(G18&lt;0.02,"bir",IF(G18&lt;0.03,"iki",IF(G18&lt;0.04,"üç",IF(G18&lt;0.05,"dört",IF(G18&lt;0.06,"beş",""))))))</f>
        <v/>
      </c>
      <c r="J18" s="20" t="str">
        <f>IF(G18&gt;=0.1,"",IF(G18&gt;=0.09,"dokuz",IF(G18&gt;=0.08,"sekiz",IF(G18&gt;=0.07,"yedi",IF(G18&gt;=0.06,"altı","")))))</f>
        <v/>
      </c>
      <c r="K18" s="20" t="str">
        <f>I18&amp;J18</f>
        <v/>
      </c>
      <c r="L18" s="22" t="s">
        <v>201</v>
      </c>
    </row>
    <row r="19" spans="1:12" ht="13.5" thickBot="1" x14ac:dyDescent="0.25">
      <c r="A19" s="19">
        <f>MOD(A18,0.01)</f>
        <v>0</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onaltıbinbeşyüzdoksan</v>
      </c>
      <c r="H24" s="20" t="str">
        <f>CONCATENATE(K17,K18)</f>
        <v>kırk</v>
      </c>
      <c r="I24" s="20" t="str">
        <f>IF(G24="","sıfır",G24)</f>
        <v>onaltıbinbeşyüzdoksan</v>
      </c>
      <c r="J24" s="20" t="str">
        <f>IF(H24="","sıfır",H24)</f>
        <v>kırk</v>
      </c>
      <c r="K24" s="20"/>
      <c r="L24" s="22"/>
    </row>
    <row r="25" spans="1:12" ht="21" customHeight="1" thickBot="1" x14ac:dyDescent="0.3">
      <c r="A25" s="681" t="str">
        <f>CONCATENATE("//",A24,F17,D24,F18,"//")</f>
        <v>//beşbinaltıyüz TL ellisekiz Kuruş//</v>
      </c>
      <c r="B25" s="682"/>
      <c r="C25" s="682"/>
      <c r="D25" s="682"/>
      <c r="E25" s="682"/>
      <c r="F25" s="683"/>
      <c r="G25" s="681" t="str">
        <f>CONCATENATE("//",I24,L17,J24,L18,"//")</f>
        <v>//onaltıbinbeşyüzdoksan TL kırk Kuruş//</v>
      </c>
      <c r="H25" s="682"/>
      <c r="I25" s="682"/>
      <c r="J25" s="682"/>
      <c r="K25" s="682"/>
      <c r="L25" s="683"/>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E9" sqref="E9"/>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75" t="s">
        <v>183</v>
      </c>
      <c r="B1" s="275"/>
      <c r="C1" s="275"/>
      <c r="D1" s="275"/>
      <c r="E1" s="275"/>
      <c r="F1" s="275"/>
      <c r="G1" s="275"/>
      <c r="H1" s="275"/>
      <c r="I1" s="275"/>
      <c r="J1" s="275"/>
      <c r="K1" s="276" t="s">
        <v>245</v>
      </c>
      <c r="L1" s="276"/>
      <c r="M1" s="276"/>
      <c r="N1" s="276"/>
      <c r="O1" s="276"/>
      <c r="P1" s="276"/>
      <c r="Q1" s="276"/>
      <c r="R1" s="276"/>
      <c r="S1" s="276"/>
      <c r="T1" s="276"/>
      <c r="U1" s="276"/>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301</v>
      </c>
      <c r="F3" s="169">
        <v>16475473096</v>
      </c>
      <c r="G3" s="110">
        <f>BORDRO!H8</f>
        <v>102</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x14ac:dyDescent="0.2">
      <c r="A4" s="110">
        <v>2</v>
      </c>
      <c r="B4" s="168" t="s">
        <v>278</v>
      </c>
      <c r="C4" s="109" t="s">
        <v>279</v>
      </c>
      <c r="D4" s="108"/>
      <c r="E4" s="173" t="s">
        <v>302</v>
      </c>
      <c r="F4" s="170">
        <v>36721798520</v>
      </c>
      <c r="G4" s="110">
        <f>BORDRO!H9</f>
        <v>105</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303</v>
      </c>
      <c r="F5" s="171">
        <v>56623133526</v>
      </c>
      <c r="G5" s="110">
        <f>BORDRO!H10</f>
        <v>34</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304</v>
      </c>
      <c r="F6" s="172">
        <v>19259361084</v>
      </c>
      <c r="G6" s="110">
        <f>BORDRO!H11</f>
        <v>66</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305</v>
      </c>
      <c r="F7" s="172">
        <v>56656123778</v>
      </c>
      <c r="G7" s="110">
        <f>BORDRO!H12</f>
        <v>103</v>
      </c>
      <c r="H7" s="134"/>
      <c r="I7" s="115"/>
      <c r="J7" s="118">
        <v>50</v>
      </c>
      <c r="K7" s="44">
        <v>220.72499999999999</v>
      </c>
      <c r="L7" s="70"/>
      <c r="M7" s="69"/>
      <c r="N7" s="71"/>
      <c r="O7" s="46"/>
      <c r="P7" s="71"/>
      <c r="Q7" s="46"/>
      <c r="R7" s="45"/>
      <c r="S7" s="46"/>
      <c r="T7" s="45"/>
      <c r="U7" s="47">
        <f t="shared" si="0"/>
        <v>220.72499999999999</v>
      </c>
    </row>
    <row r="8" spans="1:21" x14ac:dyDescent="0.2">
      <c r="A8" s="110">
        <v>6</v>
      </c>
      <c r="B8" s="168" t="s">
        <v>317</v>
      </c>
      <c r="C8" s="109" t="s">
        <v>316</v>
      </c>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t="s">
        <v>314</v>
      </c>
      <c r="C9" s="109" t="s">
        <v>315</v>
      </c>
      <c r="D9" s="108"/>
      <c r="E9" s="173"/>
      <c r="F9" s="172"/>
      <c r="G9" s="110"/>
      <c r="H9" s="134"/>
      <c r="I9" s="110"/>
      <c r="J9" s="118"/>
      <c r="K9" s="44"/>
      <c r="L9" s="70"/>
      <c r="M9" s="69"/>
      <c r="N9" s="71"/>
      <c r="O9" s="46"/>
      <c r="P9" s="71"/>
      <c r="Q9" s="46"/>
      <c r="R9" s="45"/>
      <c r="S9" s="46"/>
      <c r="T9" s="45"/>
      <c r="U9" s="47">
        <f t="shared" ref="U9:U10" si="1">SUM(K9:T9)</f>
        <v>0</v>
      </c>
    </row>
    <row r="10" spans="1:21" s="67" customFormat="1" x14ac:dyDescent="0.2">
      <c r="A10" s="110">
        <v>8</v>
      </c>
      <c r="B10" s="168"/>
      <c r="C10" s="109"/>
      <c r="D10" s="108"/>
      <c r="E10" s="173"/>
      <c r="F10" s="171"/>
      <c r="G10" s="110"/>
      <c r="H10" s="134"/>
      <c r="I10" s="110"/>
      <c r="J10" s="118"/>
      <c r="K10" s="44"/>
      <c r="L10" s="70"/>
      <c r="M10" s="69"/>
      <c r="N10" s="71"/>
      <c r="O10" s="46"/>
      <c r="P10" s="71"/>
      <c r="Q10" s="46"/>
      <c r="R10" s="45"/>
      <c r="S10" s="46"/>
      <c r="T10" s="45"/>
      <c r="U10" s="47">
        <f t="shared" si="1"/>
        <v>0</v>
      </c>
    </row>
    <row r="11" spans="1:21" x14ac:dyDescent="0.2">
      <c r="A11" s="110">
        <v>9</v>
      </c>
      <c r="B11" s="168"/>
      <c r="C11" s="109"/>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2">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2"/>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2"/>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2"/>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2"/>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2"/>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2"/>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2"/>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2"/>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2"/>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2"/>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2"/>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2"/>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2"/>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2"/>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2"/>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2"/>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2"/>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2"/>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2"/>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2"/>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2"/>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2"/>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2"/>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2"/>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2"/>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2"/>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2"/>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2"/>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2"/>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2"/>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2"/>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2"/>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2"/>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2"/>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2"/>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2"/>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2"/>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2"/>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2"/>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2"/>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2"/>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2"/>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2"/>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2"/>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2"/>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2"/>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2"/>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2"/>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2"/>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2"/>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2"/>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2"/>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2"/>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tabSelected="1" zoomScaleNormal="100" workbookViewId="0">
      <pane xSplit="8" ySplit="7" topLeftCell="I8" activePane="bottomRight" state="frozen"/>
      <selection pane="topRight" activeCell="G1" sqref="G1"/>
      <selection pane="bottomLeft" activeCell="A9" sqref="A9"/>
      <selection pane="bottomRight" activeCell="AC13" sqref="AC13"/>
    </sheetView>
  </sheetViews>
  <sheetFormatPr defaultColWidth="5.7109375" defaultRowHeight="11.25" x14ac:dyDescent="0.2"/>
  <cols>
    <col min="1" max="1" width="4.140625" style="13" customWidth="1"/>
    <col min="2" max="2" width="8.42578125" style="13" customWidth="1"/>
    <col min="3" max="3" width="7.85546875" style="13" customWidth="1"/>
    <col min="4" max="4" width="4.42578125" style="13" customWidth="1"/>
    <col min="5" max="6" width="5.85546875" style="13" customWidth="1"/>
    <col min="7" max="7" width="6.42578125" style="13" customWidth="1"/>
    <col min="8" max="8" width="6.5703125" style="13" customWidth="1"/>
    <col min="9" max="9" width="6.85546875" style="13" customWidth="1"/>
    <col min="10" max="10" width="7.5703125" style="13" customWidth="1"/>
    <col min="11" max="11" width="8.7109375" style="13" customWidth="1"/>
    <col min="12" max="12" width="7.5703125" style="13" customWidth="1"/>
    <col min="13" max="13" width="5.7109375" style="13" customWidth="1"/>
    <col min="14" max="14" width="10" style="13" customWidth="1"/>
    <col min="15" max="15" width="7.28515625" style="13" customWidth="1"/>
    <col min="16" max="16" width="6.28515625" style="13" customWidth="1"/>
    <col min="17" max="17" width="7" style="13" customWidth="1"/>
    <col min="18" max="18" width="4.85546875" style="13" customWidth="1"/>
    <col min="19" max="19" width="0.28515625" style="13" hidden="1" customWidth="1"/>
    <col min="20" max="20" width="6.42578125" style="13" customWidth="1"/>
    <col min="21" max="21" width="5.7109375" style="13" customWidth="1"/>
    <col min="22" max="22" width="5.42578125" style="13" customWidth="1"/>
    <col min="23" max="23" width="7.7109375" style="13" hidden="1" customWidth="1"/>
    <col min="24" max="24" width="5.5703125" style="13" customWidth="1"/>
    <col min="25" max="25" width="4.85546875" style="13" customWidth="1"/>
    <col min="26" max="26" width="6.42578125" style="13" customWidth="1"/>
    <col min="27" max="27" width="7.7109375" style="13" customWidth="1"/>
    <col min="28" max="28" width="4.85546875" style="13" customWidth="1"/>
    <col min="29" max="29" width="7.85546875" style="13" customWidth="1"/>
    <col min="30" max="30" width="5.7109375" style="13" customWidth="1"/>
    <col min="31" max="16384" width="5.7109375" style="13"/>
  </cols>
  <sheetData>
    <row r="1" spans="1:29" ht="12.75" customHeight="1" x14ac:dyDescent="0.2">
      <c r="A1" s="313" t="s">
        <v>29</v>
      </c>
      <c r="B1" s="313"/>
      <c r="C1" s="313"/>
      <c r="D1" s="292">
        <f>KONTROL!C6</f>
        <v>0.23544499999999999</v>
      </c>
      <c r="E1" s="292"/>
      <c r="F1" s="292"/>
      <c r="G1" s="292"/>
      <c r="H1" s="292"/>
      <c r="U1" s="277"/>
      <c r="V1" s="277"/>
      <c r="W1" s="277"/>
      <c r="X1" s="285"/>
      <c r="Y1" s="281" t="s">
        <v>10</v>
      </c>
      <c r="Z1" s="282"/>
      <c r="AA1" s="286" t="s">
        <v>269</v>
      </c>
      <c r="AB1" s="287"/>
      <c r="AC1" s="288"/>
    </row>
    <row r="2" spans="1:29" x14ac:dyDescent="0.2">
      <c r="A2" s="313"/>
      <c r="B2" s="313"/>
      <c r="C2" s="313"/>
      <c r="D2" s="298" t="s">
        <v>287</v>
      </c>
      <c r="E2" s="299"/>
      <c r="F2" s="299"/>
      <c r="G2" s="299"/>
      <c r="H2" s="300"/>
      <c r="I2" s="50" t="s">
        <v>288</v>
      </c>
      <c r="J2" s="297" t="s">
        <v>243</v>
      </c>
      <c r="K2" s="297"/>
      <c r="L2" s="297"/>
      <c r="M2" s="297"/>
      <c r="N2" s="297"/>
      <c r="O2" s="297"/>
      <c r="P2" s="297"/>
      <c r="Q2" s="297"/>
      <c r="R2" s="297"/>
      <c r="S2" s="297"/>
      <c r="T2" s="297"/>
      <c r="U2" s="297"/>
      <c r="V2" s="297"/>
      <c r="W2" s="297"/>
      <c r="X2" s="240"/>
      <c r="Y2" s="283"/>
      <c r="Z2" s="284"/>
      <c r="AA2" s="289"/>
      <c r="AB2" s="290"/>
      <c r="AC2" s="291"/>
    </row>
    <row r="3" spans="1:29" ht="12.75" customHeight="1" x14ac:dyDescent="0.2">
      <c r="A3" s="313" t="s">
        <v>8</v>
      </c>
      <c r="B3" s="313"/>
      <c r="C3" s="313"/>
      <c r="D3" s="301">
        <v>140</v>
      </c>
      <c r="E3" s="301"/>
      <c r="F3" s="301"/>
      <c r="G3" s="301"/>
      <c r="H3" s="301"/>
      <c r="I3" s="50">
        <v>150</v>
      </c>
      <c r="V3" s="293"/>
      <c r="W3" s="293"/>
      <c r="X3" s="294"/>
      <c r="Y3" s="295" t="s">
        <v>219</v>
      </c>
      <c r="Z3" s="296"/>
      <c r="AA3" s="280" t="str">
        <f>CONCATENATE(KONTROL!C1,"-",KONTROL!C2)</f>
        <v>ŞUBAT-2022</v>
      </c>
      <c r="AB3" s="280"/>
      <c r="AC3" s="280"/>
    </row>
    <row r="4" spans="1:29" s="241" customFormat="1" ht="12.75" customHeight="1" x14ac:dyDescent="0.15">
      <c r="A4" s="305" t="s">
        <v>4</v>
      </c>
      <c r="B4" s="305" t="s">
        <v>185</v>
      </c>
      <c r="C4" s="305" t="s">
        <v>186</v>
      </c>
      <c r="D4" s="305" t="s">
        <v>230</v>
      </c>
      <c r="E4" s="308" t="s">
        <v>294</v>
      </c>
      <c r="F4" s="318" t="s">
        <v>295</v>
      </c>
      <c r="G4" s="315" t="s">
        <v>296</v>
      </c>
      <c r="H4" s="305" t="s">
        <v>286</v>
      </c>
      <c r="I4" s="314" t="s">
        <v>289</v>
      </c>
      <c r="J4" s="308" t="s">
        <v>290</v>
      </c>
      <c r="K4" s="318" t="s">
        <v>291</v>
      </c>
      <c r="L4" s="315" t="s">
        <v>292</v>
      </c>
      <c r="M4" s="308" t="s">
        <v>293</v>
      </c>
      <c r="N4" s="318" t="s">
        <v>300</v>
      </c>
      <c r="O4" s="323" t="s">
        <v>133</v>
      </c>
      <c r="P4" s="305" t="s">
        <v>246</v>
      </c>
      <c r="Q4" s="305" t="s">
        <v>28</v>
      </c>
      <c r="R4" s="305" t="s">
        <v>233</v>
      </c>
      <c r="S4" s="305" t="s">
        <v>235</v>
      </c>
      <c r="T4" s="305" t="s">
        <v>182</v>
      </c>
      <c r="U4" s="305" t="s">
        <v>6</v>
      </c>
      <c r="V4" s="305" t="s">
        <v>7</v>
      </c>
      <c r="W4" s="305" t="s">
        <v>229</v>
      </c>
      <c r="X4" s="305" t="s">
        <v>247</v>
      </c>
      <c r="Y4" s="305" t="s">
        <v>231</v>
      </c>
      <c r="Z4" s="305" t="s">
        <v>232</v>
      </c>
      <c r="AA4" s="305" t="s">
        <v>9</v>
      </c>
      <c r="AB4" s="305" t="s">
        <v>233</v>
      </c>
      <c r="AC4" s="305" t="s">
        <v>234</v>
      </c>
    </row>
    <row r="5" spans="1:29" s="241" customFormat="1" ht="11.25" customHeight="1" x14ac:dyDescent="0.15">
      <c r="A5" s="306"/>
      <c r="B5" s="306"/>
      <c r="C5" s="306"/>
      <c r="D5" s="321"/>
      <c r="E5" s="309"/>
      <c r="F5" s="319"/>
      <c r="G5" s="316"/>
      <c r="H5" s="306"/>
      <c r="I5" s="314"/>
      <c r="J5" s="309"/>
      <c r="K5" s="319"/>
      <c r="L5" s="316"/>
      <c r="M5" s="309"/>
      <c r="N5" s="319"/>
      <c r="O5" s="323"/>
      <c r="P5" s="306"/>
      <c r="Q5" s="306"/>
      <c r="R5" s="306"/>
      <c r="S5" s="306"/>
      <c r="T5" s="306"/>
      <c r="U5" s="306"/>
      <c r="V5" s="306"/>
      <c r="W5" s="306"/>
      <c r="X5" s="306"/>
      <c r="Y5" s="306"/>
      <c r="Z5" s="306"/>
      <c r="AA5" s="306"/>
      <c r="AB5" s="306"/>
      <c r="AC5" s="306"/>
    </row>
    <row r="6" spans="1:29" s="241" customFormat="1" ht="8.25" x14ac:dyDescent="0.15">
      <c r="A6" s="306"/>
      <c r="B6" s="306"/>
      <c r="C6" s="306"/>
      <c r="D6" s="321"/>
      <c r="E6" s="309"/>
      <c r="F6" s="319"/>
      <c r="G6" s="316"/>
      <c r="H6" s="306"/>
      <c r="I6" s="314"/>
      <c r="J6" s="309"/>
      <c r="K6" s="319"/>
      <c r="L6" s="316"/>
      <c r="M6" s="309"/>
      <c r="N6" s="319"/>
      <c r="O6" s="323"/>
      <c r="P6" s="306"/>
      <c r="Q6" s="306"/>
      <c r="R6" s="306"/>
      <c r="S6" s="306"/>
      <c r="T6" s="306"/>
      <c r="U6" s="306"/>
      <c r="V6" s="306"/>
      <c r="W6" s="306"/>
      <c r="X6" s="306"/>
      <c r="Y6" s="306"/>
      <c r="Z6" s="306"/>
      <c r="AA6" s="306"/>
      <c r="AB6" s="306"/>
      <c r="AC6" s="306"/>
    </row>
    <row r="7" spans="1:29" s="241" customFormat="1" ht="15.6" customHeight="1" x14ac:dyDescent="0.15">
      <c r="A7" s="307"/>
      <c r="B7" s="307"/>
      <c r="C7" s="307"/>
      <c r="D7" s="322"/>
      <c r="E7" s="310"/>
      <c r="F7" s="320"/>
      <c r="G7" s="317"/>
      <c r="H7" s="307"/>
      <c r="I7" s="314"/>
      <c r="J7" s="310"/>
      <c r="K7" s="320"/>
      <c r="L7" s="317"/>
      <c r="M7" s="310"/>
      <c r="N7" s="320"/>
      <c r="O7" s="323"/>
      <c r="P7" s="307"/>
      <c r="Q7" s="307"/>
      <c r="R7" s="307"/>
      <c r="S7" s="307"/>
      <c r="T7" s="307"/>
      <c r="U7" s="307"/>
      <c r="V7" s="307"/>
      <c r="W7" s="307"/>
      <c r="X7" s="307"/>
      <c r="Y7" s="307"/>
      <c r="Z7" s="307"/>
      <c r="AA7" s="307"/>
      <c r="AB7" s="307"/>
      <c r="AC7" s="307"/>
    </row>
    <row r="8" spans="1:29" ht="15.6" customHeight="1" x14ac:dyDescent="0.2">
      <c r="A8" s="50">
        <v>1</v>
      </c>
      <c r="B8" s="90" t="str">
        <f>'BİLGİ GİRİŞİ'!B3</f>
        <v>ESRA</v>
      </c>
      <c r="C8" s="90" t="str">
        <f>'BİLGİ GİRİŞİ'!C3</f>
        <v>GÜMÜŞ</v>
      </c>
      <c r="D8" s="247">
        <f t="shared" ref="D8:D12" si="0">ROUNDUP(H8/7.5,0)</f>
        <v>14</v>
      </c>
      <c r="E8" s="248">
        <f>'EK DERS ÇİZELGESİ'!D4</f>
        <v>0</v>
      </c>
      <c r="F8" s="249">
        <f>'EK DERS ÇİZELGESİ'!E4</f>
        <v>102</v>
      </c>
      <c r="G8" s="250">
        <f>'EK DERS ÇİZELGESİ'!F4</f>
        <v>0</v>
      </c>
      <c r="H8" s="247">
        <f>SUM(E8:G8)</f>
        <v>102</v>
      </c>
      <c r="I8" s="251">
        <f t="shared" ref="I8:I55" si="1">$D$1*$D$3</f>
        <v>32.962299999999999</v>
      </c>
      <c r="J8" s="252">
        <f>I3*D1</f>
        <v>35.316749999999999</v>
      </c>
      <c r="K8" s="253">
        <f>I8*1.25</f>
        <v>41.202874999999999</v>
      </c>
      <c r="L8" s="254">
        <f>ROUND(I8*G8,2)</f>
        <v>0</v>
      </c>
      <c r="M8" s="255">
        <f>ROUND(J8*E8,2)</f>
        <v>0</v>
      </c>
      <c r="N8" s="256">
        <f>ROUND(F8*K8,2)</f>
        <v>4202.6899999999996</v>
      </c>
      <c r="O8" s="257">
        <f>SUM(L8:N8)</f>
        <v>4202.6899999999996</v>
      </c>
      <c r="P8" s="257">
        <f>ROUND((O8*20.5/100),2)</f>
        <v>861.55</v>
      </c>
      <c r="Q8" s="257">
        <f>O8+P8</f>
        <v>5064.24</v>
      </c>
      <c r="R8" s="257">
        <f>ASG.GEÇ.İND.BORD.!E6</f>
        <v>375.3</v>
      </c>
      <c r="S8" s="257">
        <f>'BİLGİ GİRİŞİ'!U3</f>
        <v>375.3</v>
      </c>
      <c r="T8" s="257">
        <f>ROUND((O8-(Y8)),2)</f>
        <v>3614.31</v>
      </c>
      <c r="U8" s="257">
        <f>ROUND((T8*15/100),2)*0</f>
        <v>0</v>
      </c>
      <c r="V8" s="257">
        <f>ROUND(MOD(O8*7.59/1000,1000000),2)*0</f>
        <v>0</v>
      </c>
      <c r="W8" s="257">
        <f>'BİLGİ GİRİŞİ'!H3</f>
        <v>0</v>
      </c>
      <c r="X8" s="257">
        <f>P8</f>
        <v>861.55</v>
      </c>
      <c r="Y8" s="257">
        <f>ROUND((O8*14/100),2)</f>
        <v>588.38</v>
      </c>
      <c r="Z8" s="257">
        <f>ROUND((X8+Y8),2)</f>
        <v>1449.93</v>
      </c>
      <c r="AA8" s="257">
        <f>(U8+V8+W8+Z8)</f>
        <v>1449.93</v>
      </c>
      <c r="AB8" s="257">
        <f>IF(U8&gt;=R8,R8,U8)</f>
        <v>0</v>
      </c>
      <c r="AC8" s="187">
        <f>(Q8+AB8)-AA8</f>
        <v>3614.3099999999995</v>
      </c>
    </row>
    <row r="9" spans="1:29" ht="14.25" customHeight="1" x14ac:dyDescent="0.2">
      <c r="A9" s="50">
        <v>2</v>
      </c>
      <c r="B9" s="90" t="str">
        <f>'BİLGİ GİRİŞİ'!B4</f>
        <v>ŞERİFE</v>
      </c>
      <c r="C9" s="90" t="str">
        <f>'BİLGİ GİRİŞİ'!C4</f>
        <v>GÜNAL</v>
      </c>
      <c r="D9" s="247">
        <f t="shared" si="0"/>
        <v>14</v>
      </c>
      <c r="E9" s="248">
        <f>'EK DERS ÇİZELGESİ'!D5</f>
        <v>0</v>
      </c>
      <c r="F9" s="249">
        <f>'EK DERS ÇİZELGESİ'!E5</f>
        <v>0</v>
      </c>
      <c r="G9" s="250">
        <f>'EK DERS ÇİZELGESİ'!F5</f>
        <v>105</v>
      </c>
      <c r="H9" s="247">
        <f t="shared" ref="H9:H12" si="2">SUM(E9:G9)</f>
        <v>105</v>
      </c>
      <c r="I9" s="251">
        <f t="shared" si="1"/>
        <v>32.962299999999999</v>
      </c>
      <c r="J9" s="252">
        <f>I3*D1</f>
        <v>35.316749999999999</v>
      </c>
      <c r="K9" s="253">
        <f t="shared" ref="K9:K12" si="3">I9*1.25</f>
        <v>41.202874999999999</v>
      </c>
      <c r="L9" s="254">
        <f>ROUND(I9*G9,2)</f>
        <v>3461.04</v>
      </c>
      <c r="M9" s="255">
        <f>ROUND(J9*E9,2)</f>
        <v>0</v>
      </c>
      <c r="N9" s="256">
        <f>ROUND(F9*K9,2)</f>
        <v>0</v>
      </c>
      <c r="O9" s="257">
        <f t="shared" ref="O9:O12" si="4">SUM(L9:N9)</f>
        <v>3461.04</v>
      </c>
      <c r="P9" s="257">
        <f t="shared" ref="P9:P10" si="5">ROUND((O9*20.5/100),2)</f>
        <v>709.51</v>
      </c>
      <c r="Q9" s="257">
        <f t="shared" ref="Q9:Q10" si="6">O9+P9</f>
        <v>4170.55</v>
      </c>
      <c r="R9" s="257">
        <f>ASG.GEÇ.İND.BORD.!E7</f>
        <v>375.3</v>
      </c>
      <c r="S9" s="257">
        <f>'BİLGİ GİRİŞİ'!U4</f>
        <v>220.72499999999999</v>
      </c>
      <c r="T9" s="257">
        <f t="shared" ref="T9:T10" si="7">ROUND((O9-(Y9)),2)</f>
        <v>2976.49</v>
      </c>
      <c r="U9" s="257">
        <f t="shared" ref="U9:U12" si="8">ROUND((T9*15/100),2)*0</f>
        <v>0</v>
      </c>
      <c r="V9" s="257">
        <f t="shared" ref="V9:V12" si="9">ROUND(MOD(O9*7.59/1000,1000000),2)*0</f>
        <v>0</v>
      </c>
      <c r="W9" s="257">
        <f>'BİLGİ GİRİŞİ'!H4</f>
        <v>0</v>
      </c>
      <c r="X9" s="257">
        <f t="shared" ref="X9:X10" si="10">P9</f>
        <v>709.51</v>
      </c>
      <c r="Y9" s="257">
        <f>ROUND((O9*14/100),2)</f>
        <v>484.55</v>
      </c>
      <c r="Z9" s="257">
        <f t="shared" ref="Z9" si="11">ROUND((X9+Y9),2)</f>
        <v>1194.06</v>
      </c>
      <c r="AA9" s="257">
        <f t="shared" ref="AA9:AA10" si="12">(U9+V9+W9+Z9)</f>
        <v>1194.06</v>
      </c>
      <c r="AB9" s="257">
        <f t="shared" ref="AB9:AB10" si="13">IF(U9&gt;=R9,R9,U9)</f>
        <v>0</v>
      </c>
      <c r="AC9" s="195">
        <f t="shared" ref="AC9:AC10" si="14">(Q9+AB9)-AA9</f>
        <v>2976.4900000000002</v>
      </c>
    </row>
    <row r="10" spans="1:29" s="175" customFormat="1" ht="14.25" customHeight="1" x14ac:dyDescent="0.2">
      <c r="A10" s="50">
        <v>3</v>
      </c>
      <c r="B10" s="90" t="str">
        <f>'BİLGİ GİRİŞİ'!B5</f>
        <v>HATİCE</v>
      </c>
      <c r="C10" s="90" t="str">
        <f>'BİLGİ GİRİŞİ'!C5</f>
        <v>SUCU</v>
      </c>
      <c r="D10" s="247">
        <f t="shared" si="0"/>
        <v>5</v>
      </c>
      <c r="E10" s="248">
        <f>'EK DERS ÇİZELGESİ'!D6</f>
        <v>0</v>
      </c>
      <c r="F10" s="249">
        <f>'EK DERS ÇİZELGESİ'!E6</f>
        <v>0</v>
      </c>
      <c r="G10" s="250">
        <f>'EK DERS ÇİZELGESİ'!F6</f>
        <v>34</v>
      </c>
      <c r="H10" s="247">
        <f t="shared" si="2"/>
        <v>34</v>
      </c>
      <c r="I10" s="251">
        <f t="shared" si="1"/>
        <v>32.962299999999999</v>
      </c>
      <c r="J10" s="252">
        <f>I3*D1</f>
        <v>35.316749999999999</v>
      </c>
      <c r="K10" s="253">
        <f t="shared" si="3"/>
        <v>41.202874999999999</v>
      </c>
      <c r="L10" s="254">
        <f>ROUND(I10*G10,2)</f>
        <v>1120.72</v>
      </c>
      <c r="M10" s="255">
        <f>ROUND(J10*E10,2)</f>
        <v>0</v>
      </c>
      <c r="N10" s="256">
        <f>ROUND(F10*K10,2)</f>
        <v>0</v>
      </c>
      <c r="O10" s="257">
        <f t="shared" si="4"/>
        <v>1120.72</v>
      </c>
      <c r="P10" s="257">
        <f t="shared" si="5"/>
        <v>229.75</v>
      </c>
      <c r="Q10" s="257">
        <f t="shared" si="6"/>
        <v>1350.47</v>
      </c>
      <c r="R10" s="257">
        <f>ASG.GEÇ.İND.BORD.!E8</f>
        <v>375.3</v>
      </c>
      <c r="S10" s="257">
        <f>'BİLGİ GİRİŞİ'!U5</f>
        <v>220.72499999999999</v>
      </c>
      <c r="T10" s="257">
        <f t="shared" si="7"/>
        <v>963.82</v>
      </c>
      <c r="U10" s="257">
        <f t="shared" si="8"/>
        <v>0</v>
      </c>
      <c r="V10" s="257">
        <f t="shared" si="9"/>
        <v>0</v>
      </c>
      <c r="W10" s="257">
        <f>'BİLGİ GİRİŞİ'!H5</f>
        <v>0</v>
      </c>
      <c r="X10" s="257">
        <f t="shared" si="10"/>
        <v>229.75</v>
      </c>
      <c r="Y10" s="257">
        <f>ROUND((O10*14/100),2)</f>
        <v>156.9</v>
      </c>
      <c r="Z10" s="257">
        <f>ROUND((X10+Y10),2)</f>
        <v>386.65</v>
      </c>
      <c r="AA10" s="257">
        <f t="shared" si="12"/>
        <v>386.65</v>
      </c>
      <c r="AB10" s="257">
        <f t="shared" si="13"/>
        <v>0</v>
      </c>
      <c r="AC10" s="195">
        <f t="shared" si="14"/>
        <v>963.82</v>
      </c>
    </row>
    <row r="11" spans="1:29" ht="13.15" customHeight="1" x14ac:dyDescent="0.2">
      <c r="A11" s="50">
        <v>4</v>
      </c>
      <c r="B11" s="90" t="str">
        <f>'BİLGİ GİRİŞİ'!B6</f>
        <v>YASİN</v>
      </c>
      <c r="C11" s="259" t="str">
        <f>'BİLGİ GİRİŞİ'!C6</f>
        <v>DAYANKAÇ</v>
      </c>
      <c r="D11" s="247">
        <f t="shared" si="0"/>
        <v>9</v>
      </c>
      <c r="E11" s="248">
        <f>'EK DERS ÇİZELGESİ'!D7</f>
        <v>8</v>
      </c>
      <c r="F11" s="249">
        <f>'EK DERS ÇİZELGESİ'!E7</f>
        <v>0</v>
      </c>
      <c r="G11" s="250">
        <f>'EK DERS ÇİZELGESİ'!F7</f>
        <v>58</v>
      </c>
      <c r="H11" s="247">
        <f t="shared" si="2"/>
        <v>66</v>
      </c>
      <c r="I11" s="251">
        <f t="shared" si="1"/>
        <v>32.962299999999999</v>
      </c>
      <c r="J11" s="252">
        <f>I3*D1</f>
        <v>35.316749999999999</v>
      </c>
      <c r="K11" s="253">
        <f t="shared" si="3"/>
        <v>41.202874999999999</v>
      </c>
      <c r="L11" s="254">
        <f>ROUND(I11*G11,2)</f>
        <v>1911.81</v>
      </c>
      <c r="M11" s="255">
        <f>ROUND(J11*E11,2)</f>
        <v>282.52999999999997</v>
      </c>
      <c r="N11" s="256">
        <f>ROUND(F11*K11,2)</f>
        <v>0</v>
      </c>
      <c r="O11" s="257">
        <f t="shared" si="4"/>
        <v>2194.34</v>
      </c>
      <c r="P11" s="257">
        <f t="shared" ref="P11" si="15">ROUND((O11*20.5/100),2)</f>
        <v>449.84</v>
      </c>
      <c r="Q11" s="257">
        <f t="shared" ref="Q11:Q12" si="16">O11+P11</f>
        <v>2644.1800000000003</v>
      </c>
      <c r="R11" s="257">
        <f>ASG.GEÇ.İND.BORD.!E9</f>
        <v>375.3</v>
      </c>
      <c r="S11" s="257">
        <f>'BİLGİ GİRİŞİ'!U6</f>
        <v>220.72499999999999</v>
      </c>
      <c r="T11" s="257">
        <f t="shared" ref="T11:T12" si="17">ROUND((O11-(Y11)),2)</f>
        <v>1887.13</v>
      </c>
      <c r="U11" s="257">
        <f t="shared" si="8"/>
        <v>0</v>
      </c>
      <c r="V11" s="257">
        <f t="shared" si="9"/>
        <v>0</v>
      </c>
      <c r="W11" s="257">
        <f>'BİLGİ GİRİŞİ'!H6</f>
        <v>0</v>
      </c>
      <c r="X11" s="257">
        <f t="shared" ref="X11:X12" si="18">P11</f>
        <v>449.84</v>
      </c>
      <c r="Y11" s="257">
        <f t="shared" ref="Y11:Y12" si="19">ROUND((O11*14/100),2)</f>
        <v>307.20999999999998</v>
      </c>
      <c r="Z11" s="257">
        <f t="shared" ref="Z11:Z12" si="20">ROUND((X11+Y11),2)</f>
        <v>757.05</v>
      </c>
      <c r="AA11" s="257">
        <f t="shared" ref="AA11:AA12" si="21">(U11+V11+W11+Z11)</f>
        <v>757.05</v>
      </c>
      <c r="AB11" s="257">
        <f t="shared" ref="AB11:AB12" si="22">IF(U11&gt;=R11,R11,U11)</f>
        <v>0</v>
      </c>
      <c r="AC11" s="187">
        <f t="shared" ref="AC11:AC12" si="23">(Q11+AB11)-AA11</f>
        <v>1887.1300000000003</v>
      </c>
    </row>
    <row r="12" spans="1:29" ht="11.45" customHeight="1" x14ac:dyDescent="0.2">
      <c r="A12" s="50">
        <v>5</v>
      </c>
      <c r="B12" s="258" t="str">
        <f>'BİLGİ GİRİŞİ'!B7</f>
        <v>REFİYE RANA</v>
      </c>
      <c r="C12" s="90" t="str">
        <f>'BİLGİ GİRİŞİ'!C7</f>
        <v>TOK</v>
      </c>
      <c r="D12" s="247">
        <f t="shared" si="0"/>
        <v>14</v>
      </c>
      <c r="E12" s="248">
        <f>'EK DERS ÇİZELGESİ'!D8</f>
        <v>6</v>
      </c>
      <c r="F12" s="249">
        <f>'EK DERS ÇİZELGESİ'!E8</f>
        <v>35</v>
      </c>
      <c r="G12" s="250">
        <f>'EK DERS ÇİZELGESİ'!F8</f>
        <v>62</v>
      </c>
      <c r="H12" s="247">
        <f t="shared" si="2"/>
        <v>103</v>
      </c>
      <c r="I12" s="251">
        <f t="shared" si="1"/>
        <v>32.962299999999999</v>
      </c>
      <c r="J12" s="252">
        <f>I3*D1</f>
        <v>35.316749999999999</v>
      </c>
      <c r="K12" s="253">
        <f t="shared" si="3"/>
        <v>41.202874999999999</v>
      </c>
      <c r="L12" s="254">
        <f>ROUND(I12*G12,2)</f>
        <v>2043.66</v>
      </c>
      <c r="M12" s="255">
        <f>ROUND(J12*E12,2)</f>
        <v>211.9</v>
      </c>
      <c r="N12" s="256">
        <f>ROUND(F12*K12,2)</f>
        <v>1442.1</v>
      </c>
      <c r="O12" s="257">
        <f t="shared" si="4"/>
        <v>3697.66</v>
      </c>
      <c r="P12" s="257">
        <f>ROUND((O12*20.5/100),2)+0.02</f>
        <v>758.04</v>
      </c>
      <c r="Q12" s="257">
        <f t="shared" si="16"/>
        <v>4455.7</v>
      </c>
      <c r="R12" s="257">
        <f>ASG.GEÇ.İND.BORD.!E10</f>
        <v>375.3</v>
      </c>
      <c r="S12" s="257">
        <f>'BİLGİ GİRİŞİ'!U7</f>
        <v>220.72499999999999</v>
      </c>
      <c r="T12" s="257">
        <f t="shared" si="17"/>
        <v>3179.99</v>
      </c>
      <c r="U12" s="257">
        <f t="shared" si="8"/>
        <v>0</v>
      </c>
      <c r="V12" s="257">
        <f t="shared" si="9"/>
        <v>0</v>
      </c>
      <c r="W12" s="257">
        <f>'BİLGİ GİRİŞİ'!H7</f>
        <v>0</v>
      </c>
      <c r="X12" s="257">
        <f t="shared" si="18"/>
        <v>758.04</v>
      </c>
      <c r="Y12" s="257">
        <f t="shared" si="19"/>
        <v>517.66999999999996</v>
      </c>
      <c r="Z12" s="257">
        <f t="shared" si="20"/>
        <v>1275.71</v>
      </c>
      <c r="AA12" s="257">
        <f t="shared" si="21"/>
        <v>1275.71</v>
      </c>
      <c r="AB12" s="257">
        <f t="shared" si="22"/>
        <v>0</v>
      </c>
      <c r="AC12" s="187">
        <f t="shared" si="23"/>
        <v>3179.99</v>
      </c>
    </row>
    <row r="13" spans="1:29" ht="14.25" customHeight="1" x14ac:dyDescent="0.2">
      <c r="A13" s="50">
        <v>6</v>
      </c>
      <c r="B13" s="258" t="str">
        <f>'BİLGİ GİRİŞİ'!B8</f>
        <v>YUSUF</v>
      </c>
      <c r="C13" s="90" t="str">
        <f>'BİLGİ GİRİŞİ'!C8</f>
        <v>ARABACI</v>
      </c>
      <c r="D13" s="247">
        <f t="shared" ref="D13:D14" si="24">ROUNDUP(H13/7.5,0)</f>
        <v>8</v>
      </c>
      <c r="E13" s="248">
        <f>'EK DERS ÇİZELGESİ'!D9</f>
        <v>0</v>
      </c>
      <c r="F13" s="249">
        <f>'EK DERS ÇİZELGESİ'!E9</f>
        <v>0</v>
      </c>
      <c r="G13" s="250">
        <f>'EK DERS ÇİZELGESİ'!F9</f>
        <v>54</v>
      </c>
      <c r="H13" s="247">
        <f t="shared" ref="H13:H14" si="25">SUM(E13:G13)</f>
        <v>54</v>
      </c>
      <c r="I13" s="251">
        <f t="shared" si="1"/>
        <v>32.962299999999999</v>
      </c>
      <c r="J13" s="252">
        <f>I3*D1</f>
        <v>35.316749999999999</v>
      </c>
      <c r="K13" s="253">
        <f t="shared" ref="K13:K14" si="26">I13*1.25</f>
        <v>41.202874999999999</v>
      </c>
      <c r="L13" s="254">
        <f t="shared" ref="L13:L14" si="27">ROUND(I13*G13,2)</f>
        <v>1779.96</v>
      </c>
      <c r="M13" s="255">
        <f t="shared" ref="M13:M14" si="28">ROUND(J13*E13,2)</f>
        <v>0</v>
      </c>
      <c r="N13" s="256">
        <f t="shared" ref="N13:N14" si="29">ROUND(F13*K13,2)</f>
        <v>0</v>
      </c>
      <c r="O13" s="257">
        <f t="shared" ref="O13:O14" si="30">SUM(L13:N13)</f>
        <v>1779.96</v>
      </c>
      <c r="P13" s="257">
        <f t="shared" ref="P13:P14" si="31">ROUND((O13*20.5/100),2)+0.02</f>
        <v>364.90999999999997</v>
      </c>
      <c r="Q13" s="257">
        <f t="shared" ref="Q13:Q14" si="32">O13+P13</f>
        <v>2144.87</v>
      </c>
      <c r="R13" s="257">
        <f>ASG.GEÇ.İND.BORD.!E11</f>
        <v>0</v>
      </c>
      <c r="S13" s="257">
        <f>'BİLGİ GİRİŞİ'!U8</f>
        <v>0</v>
      </c>
      <c r="T13" s="257">
        <f t="shared" ref="T13:T14" si="33">ROUND((O13-(Y13)),2)</f>
        <v>1530.77</v>
      </c>
      <c r="U13" s="257">
        <f t="shared" ref="U13:U14" si="34">ROUND((T13*15/100),2)*0</f>
        <v>0</v>
      </c>
      <c r="V13" s="257">
        <f t="shared" ref="V13:V14" si="35">ROUND(MOD(O13*7.59/1000,1000000),2)*0</f>
        <v>0</v>
      </c>
      <c r="W13" s="257">
        <f>'BİLGİ GİRİŞİ'!H8</f>
        <v>0</v>
      </c>
      <c r="X13" s="257">
        <f t="shared" ref="X13:X14" si="36">P13</f>
        <v>364.90999999999997</v>
      </c>
      <c r="Y13" s="257">
        <f t="shared" ref="Y13:Y14" si="37">ROUND((O13*14/100),2)</f>
        <v>249.19</v>
      </c>
      <c r="Z13" s="257">
        <f t="shared" ref="Z13:Z14" si="38">ROUND((X13+Y13),2)</f>
        <v>614.1</v>
      </c>
      <c r="AA13" s="257">
        <f t="shared" ref="AA13:AA14" si="39">(U13+V13+W13+Z13)</f>
        <v>614.1</v>
      </c>
      <c r="AB13" s="257">
        <f t="shared" ref="AB13:AB14" si="40">IF(U13&gt;=R13,R13,U13)</f>
        <v>0</v>
      </c>
      <c r="AC13" s="195">
        <f t="shared" ref="AC13:AC14" si="41">(Q13+AB13)-AA13</f>
        <v>1530.77</v>
      </c>
    </row>
    <row r="14" spans="1:29" ht="14.25" customHeight="1" x14ac:dyDescent="0.2">
      <c r="A14" s="50">
        <v>7</v>
      </c>
      <c r="B14" s="258" t="str">
        <f>'BİLGİ GİRİŞİ'!B9</f>
        <v>ASLI</v>
      </c>
      <c r="C14" s="90" t="str">
        <f>'BİLGİ GİRİŞİ'!C9</f>
        <v>ÜSTELİK</v>
      </c>
      <c r="D14" s="247">
        <f t="shared" si="24"/>
        <v>12</v>
      </c>
      <c r="E14" s="248">
        <f>'EK DERS ÇİZELGESİ'!D10</f>
        <v>0</v>
      </c>
      <c r="F14" s="249">
        <f>'EK DERS ÇİZELGESİ'!E10</f>
        <v>0</v>
      </c>
      <c r="G14" s="250">
        <f>'EK DERS ÇİZELGESİ'!F10</f>
        <v>86</v>
      </c>
      <c r="H14" s="247">
        <f t="shared" si="25"/>
        <v>86</v>
      </c>
      <c r="I14" s="251">
        <f t="shared" si="1"/>
        <v>32.962299999999999</v>
      </c>
      <c r="J14" s="252">
        <f>I3*D1</f>
        <v>35.316749999999999</v>
      </c>
      <c r="K14" s="253">
        <f t="shared" si="26"/>
        <v>41.202874999999999</v>
      </c>
      <c r="L14" s="254">
        <f t="shared" si="27"/>
        <v>2834.76</v>
      </c>
      <c r="M14" s="255">
        <f t="shared" si="28"/>
        <v>0</v>
      </c>
      <c r="N14" s="256">
        <f t="shared" si="29"/>
        <v>0</v>
      </c>
      <c r="O14" s="257">
        <f t="shared" si="30"/>
        <v>2834.76</v>
      </c>
      <c r="P14" s="257">
        <f t="shared" si="31"/>
        <v>581.15</v>
      </c>
      <c r="Q14" s="257">
        <f t="shared" si="32"/>
        <v>3415.9100000000003</v>
      </c>
      <c r="R14" s="257">
        <f>ASG.GEÇ.İND.BORD.!E12</f>
        <v>0</v>
      </c>
      <c r="S14" s="257">
        <f>'BİLGİ GİRİŞİ'!U9</f>
        <v>0</v>
      </c>
      <c r="T14" s="257">
        <f t="shared" si="33"/>
        <v>2437.89</v>
      </c>
      <c r="U14" s="257">
        <f t="shared" si="34"/>
        <v>0</v>
      </c>
      <c r="V14" s="257">
        <f t="shared" si="35"/>
        <v>0</v>
      </c>
      <c r="W14" s="257">
        <f>'BİLGİ GİRİŞİ'!H9</f>
        <v>0</v>
      </c>
      <c r="X14" s="257">
        <f t="shared" si="36"/>
        <v>581.15</v>
      </c>
      <c r="Y14" s="257">
        <f t="shared" si="37"/>
        <v>396.87</v>
      </c>
      <c r="Z14" s="257">
        <f t="shared" si="38"/>
        <v>978.02</v>
      </c>
      <c r="AA14" s="257">
        <f t="shared" si="39"/>
        <v>978.02</v>
      </c>
      <c r="AB14" s="257">
        <f t="shared" si="40"/>
        <v>0</v>
      </c>
      <c r="AC14" s="195">
        <f t="shared" si="41"/>
        <v>2437.8900000000003</v>
      </c>
    </row>
    <row r="15" spans="1:29" ht="14.25" customHeight="1" x14ac:dyDescent="0.2">
      <c r="A15" s="50">
        <v>8</v>
      </c>
      <c r="B15" s="90"/>
      <c r="C15" s="90"/>
      <c r="D15" s="50"/>
      <c r="E15" s="50"/>
      <c r="F15" s="50"/>
      <c r="G15" s="50"/>
      <c r="H15" s="50"/>
      <c r="I15" s="51"/>
      <c r="J15" s="192"/>
      <c r="K15" s="192"/>
      <c r="L15" s="192"/>
      <c r="M15" s="192"/>
      <c r="N15" s="192"/>
      <c r="O15" s="52"/>
      <c r="P15" s="52"/>
      <c r="Q15" s="52"/>
      <c r="R15" s="52"/>
      <c r="S15" s="52"/>
      <c r="T15" s="52"/>
      <c r="U15" s="52"/>
      <c r="V15" s="52"/>
      <c r="W15" s="52"/>
      <c r="X15" s="52"/>
      <c r="Y15" s="52"/>
      <c r="Z15" s="52"/>
      <c r="AA15" s="52"/>
      <c r="AB15" s="193"/>
      <c r="AC15" s="52"/>
    </row>
    <row r="16" spans="1:29" ht="14.25" customHeight="1" x14ac:dyDescent="0.2">
      <c r="A16" s="50">
        <v>9</v>
      </c>
      <c r="B16" s="90"/>
      <c r="C16" s="90"/>
      <c r="D16" s="50"/>
      <c r="E16" s="50"/>
      <c r="F16" s="50"/>
      <c r="G16" s="50"/>
      <c r="H16" s="50"/>
      <c r="I16" s="51"/>
      <c r="J16" s="192"/>
      <c r="K16" s="192"/>
      <c r="L16" s="192"/>
      <c r="M16" s="192"/>
      <c r="N16" s="192"/>
      <c r="O16" s="52"/>
      <c r="P16" s="52"/>
      <c r="Q16" s="52"/>
      <c r="R16" s="52"/>
      <c r="S16" s="52"/>
      <c r="T16" s="52"/>
      <c r="U16" s="52"/>
      <c r="V16" s="52"/>
      <c r="W16" s="52"/>
      <c r="X16" s="52"/>
      <c r="Y16" s="52"/>
      <c r="Z16" s="52"/>
      <c r="AA16" s="52"/>
      <c r="AB16" s="193"/>
      <c r="AC16" s="52"/>
    </row>
    <row r="17" spans="1:29" ht="14.25" hidden="1" customHeight="1" x14ac:dyDescent="0.2">
      <c r="A17" s="50">
        <f>'BİLGİ GİRİŞİ'!A12</f>
        <v>10</v>
      </c>
      <c r="B17" s="90">
        <f>'BİLGİ GİRİŞİ'!B12</f>
        <v>0</v>
      </c>
      <c r="C17" s="90">
        <f>'BİLGİ GİRİŞİ'!C12</f>
        <v>0</v>
      </c>
      <c r="D17" s="50">
        <f t="shared" ref="D17:D55" si="42">ROUNDUP(H17/7.5,0)</f>
        <v>0</v>
      </c>
      <c r="E17" s="50"/>
      <c r="F17" s="50"/>
      <c r="G17" s="50"/>
      <c r="H17" s="50">
        <f>'BİLGİ GİRİŞİ'!G12</f>
        <v>0</v>
      </c>
      <c r="I17" s="51">
        <f t="shared" si="1"/>
        <v>32.962299999999999</v>
      </c>
      <c r="J17" s="192"/>
      <c r="K17" s="192"/>
      <c r="L17" s="192"/>
      <c r="M17" s="192"/>
      <c r="N17" s="192"/>
      <c r="O17" s="52">
        <f t="shared" ref="O17:O55" si="43">ROUND(H17*I17,2)</f>
        <v>0</v>
      </c>
      <c r="P17" s="52">
        <f t="shared" ref="P17:P55" si="44">ROUND((O17*20.5/100),2)</f>
        <v>0</v>
      </c>
      <c r="Q17" s="52">
        <f t="shared" ref="Q17:Q55" si="45">O17+P17</f>
        <v>0</v>
      </c>
      <c r="R17" s="52">
        <f>ASG.GEÇ.İND.BORD.!E15</f>
        <v>0</v>
      </c>
      <c r="S17" s="52">
        <f>'BİLGİ GİRİŞİ'!U12</f>
        <v>0</v>
      </c>
      <c r="T17" s="52">
        <f t="shared" ref="T17:T55" si="46">ROUND((O17-(Y17)),2)</f>
        <v>0</v>
      </c>
      <c r="U17" s="52">
        <f t="shared" ref="U17:U55" si="47">ROUND((T17*15/100),2)</f>
        <v>0</v>
      </c>
      <c r="V17" s="52">
        <f t="shared" ref="V17:V55" si="48">ROUND(MOD(O17*7.59/1000,1000000),2)</f>
        <v>0</v>
      </c>
      <c r="W17" s="52">
        <f>'BİLGİ GİRİŞİ'!H12</f>
        <v>0</v>
      </c>
      <c r="X17" s="52">
        <f t="shared" ref="X17:X55" si="49">P17</f>
        <v>0</v>
      </c>
      <c r="Y17" s="52">
        <f t="shared" ref="Y17:Y55" si="50">ROUND((O17*14/100),2)</f>
        <v>0</v>
      </c>
      <c r="Z17" s="52">
        <f t="shared" ref="Z17:Z55" si="51">ROUND((X17+Y17),2)</f>
        <v>0</v>
      </c>
      <c r="AA17" s="52">
        <f t="shared" ref="AA17:AA55" si="52">(U17+V17+W17+Z17)</f>
        <v>0</v>
      </c>
      <c r="AB17" s="193">
        <f t="shared" ref="AB17:AB55" si="53">IF(U17&gt;=R17,R17,U17)</f>
        <v>0</v>
      </c>
      <c r="AC17" s="52">
        <f t="shared" ref="AC17:AC55" si="54">(Q17+AB17)-AA17</f>
        <v>0</v>
      </c>
    </row>
    <row r="18" spans="1:29" ht="14.25" hidden="1" customHeight="1" x14ac:dyDescent="0.2">
      <c r="A18" s="50">
        <f>'BİLGİ GİRİŞİ'!A13</f>
        <v>11</v>
      </c>
      <c r="B18" s="90">
        <f>'BİLGİ GİRİŞİ'!B13</f>
        <v>0</v>
      </c>
      <c r="C18" s="90">
        <f>'BİLGİ GİRİŞİ'!C13</f>
        <v>0</v>
      </c>
      <c r="D18" s="50">
        <f t="shared" si="42"/>
        <v>0</v>
      </c>
      <c r="E18" s="50"/>
      <c r="F18" s="50"/>
      <c r="G18" s="50"/>
      <c r="H18" s="50">
        <f>'BİLGİ GİRİŞİ'!G13</f>
        <v>0</v>
      </c>
      <c r="I18" s="51">
        <f t="shared" si="1"/>
        <v>32.962299999999999</v>
      </c>
      <c r="J18" s="192"/>
      <c r="K18" s="192"/>
      <c r="L18" s="192"/>
      <c r="M18" s="192"/>
      <c r="N18" s="192"/>
      <c r="O18" s="52">
        <f t="shared" si="43"/>
        <v>0</v>
      </c>
      <c r="P18" s="52">
        <f t="shared" si="44"/>
        <v>0</v>
      </c>
      <c r="Q18" s="52">
        <f t="shared" si="45"/>
        <v>0</v>
      </c>
      <c r="R18" s="52">
        <f>ASG.GEÇ.İND.BORD.!E16</f>
        <v>0</v>
      </c>
      <c r="S18" s="52">
        <f>'BİLGİ GİRİŞİ'!U13</f>
        <v>0</v>
      </c>
      <c r="T18" s="52">
        <f t="shared" si="46"/>
        <v>0</v>
      </c>
      <c r="U18" s="52">
        <f t="shared" si="47"/>
        <v>0</v>
      </c>
      <c r="V18" s="52">
        <f t="shared" si="48"/>
        <v>0</v>
      </c>
      <c r="W18" s="52">
        <f>'BİLGİ GİRİŞİ'!H13</f>
        <v>0</v>
      </c>
      <c r="X18" s="52">
        <f t="shared" si="49"/>
        <v>0</v>
      </c>
      <c r="Y18" s="52">
        <f t="shared" si="50"/>
        <v>0</v>
      </c>
      <c r="Z18" s="52">
        <f t="shared" si="51"/>
        <v>0</v>
      </c>
      <c r="AA18" s="52">
        <f t="shared" si="52"/>
        <v>0</v>
      </c>
      <c r="AB18" s="193">
        <f t="shared" si="53"/>
        <v>0</v>
      </c>
      <c r="AC18" s="52">
        <f t="shared" si="54"/>
        <v>0</v>
      </c>
    </row>
    <row r="19" spans="1:29" ht="14.25" hidden="1" customHeight="1" x14ac:dyDescent="0.2">
      <c r="A19" s="50">
        <f>'BİLGİ GİRİŞİ'!A14</f>
        <v>12</v>
      </c>
      <c r="B19" s="90">
        <f>'BİLGİ GİRİŞİ'!B14</f>
        <v>0</v>
      </c>
      <c r="C19" s="90">
        <f>'BİLGİ GİRİŞİ'!C14</f>
        <v>0</v>
      </c>
      <c r="D19" s="50">
        <f t="shared" si="42"/>
        <v>0</v>
      </c>
      <c r="E19" s="50"/>
      <c r="F19" s="50"/>
      <c r="G19" s="50"/>
      <c r="H19" s="50">
        <f>'BİLGİ GİRİŞİ'!G14</f>
        <v>0</v>
      </c>
      <c r="I19" s="51">
        <f t="shared" si="1"/>
        <v>32.962299999999999</v>
      </c>
      <c r="J19" s="192"/>
      <c r="K19" s="192"/>
      <c r="L19" s="192"/>
      <c r="M19" s="192"/>
      <c r="N19" s="192"/>
      <c r="O19" s="52">
        <f t="shared" si="43"/>
        <v>0</v>
      </c>
      <c r="P19" s="52">
        <f t="shared" si="44"/>
        <v>0</v>
      </c>
      <c r="Q19" s="52">
        <f t="shared" si="45"/>
        <v>0</v>
      </c>
      <c r="R19" s="52">
        <f>ASG.GEÇ.İND.BORD.!E17</f>
        <v>0</v>
      </c>
      <c r="S19" s="52">
        <f>'BİLGİ GİRİŞİ'!U14</f>
        <v>0</v>
      </c>
      <c r="T19" s="52">
        <f t="shared" si="46"/>
        <v>0</v>
      </c>
      <c r="U19" s="52">
        <f t="shared" si="47"/>
        <v>0</v>
      </c>
      <c r="V19" s="52">
        <f t="shared" si="48"/>
        <v>0</v>
      </c>
      <c r="W19" s="52">
        <f>'BİLGİ GİRİŞİ'!H14</f>
        <v>0</v>
      </c>
      <c r="X19" s="52">
        <f t="shared" si="49"/>
        <v>0</v>
      </c>
      <c r="Y19" s="52">
        <f t="shared" si="50"/>
        <v>0</v>
      </c>
      <c r="Z19" s="52">
        <f t="shared" si="51"/>
        <v>0</v>
      </c>
      <c r="AA19" s="52">
        <f t="shared" si="52"/>
        <v>0</v>
      </c>
      <c r="AB19" s="193">
        <f t="shared" si="53"/>
        <v>0</v>
      </c>
      <c r="AC19" s="52">
        <f t="shared" si="54"/>
        <v>0</v>
      </c>
    </row>
    <row r="20" spans="1:29" ht="14.25" hidden="1" customHeight="1" x14ac:dyDescent="0.2">
      <c r="A20" s="50">
        <f>'BİLGİ GİRİŞİ'!A15</f>
        <v>13</v>
      </c>
      <c r="B20" s="90">
        <f>'BİLGİ GİRİŞİ'!B15</f>
        <v>0</v>
      </c>
      <c r="C20" s="90">
        <f>'BİLGİ GİRİŞİ'!C15</f>
        <v>0</v>
      </c>
      <c r="D20" s="50">
        <f t="shared" si="42"/>
        <v>0</v>
      </c>
      <c r="E20" s="50"/>
      <c r="F20" s="50"/>
      <c r="G20" s="50"/>
      <c r="H20" s="50">
        <f>'BİLGİ GİRİŞİ'!G15</f>
        <v>0</v>
      </c>
      <c r="I20" s="51">
        <f t="shared" si="1"/>
        <v>32.962299999999999</v>
      </c>
      <c r="J20" s="192"/>
      <c r="K20" s="192"/>
      <c r="L20" s="192"/>
      <c r="M20" s="192"/>
      <c r="N20" s="192"/>
      <c r="O20" s="52">
        <f t="shared" si="43"/>
        <v>0</v>
      </c>
      <c r="P20" s="52">
        <f t="shared" si="44"/>
        <v>0</v>
      </c>
      <c r="Q20" s="52">
        <f t="shared" si="45"/>
        <v>0</v>
      </c>
      <c r="R20" s="52">
        <f>ASG.GEÇ.İND.BORD.!E18</f>
        <v>0</v>
      </c>
      <c r="S20" s="52">
        <f>'BİLGİ GİRİŞİ'!U15</f>
        <v>0</v>
      </c>
      <c r="T20" s="52">
        <f t="shared" si="46"/>
        <v>0</v>
      </c>
      <c r="U20" s="52">
        <f t="shared" si="47"/>
        <v>0</v>
      </c>
      <c r="V20" s="52">
        <f t="shared" si="48"/>
        <v>0</v>
      </c>
      <c r="W20" s="52">
        <f>'BİLGİ GİRİŞİ'!H15</f>
        <v>0</v>
      </c>
      <c r="X20" s="52">
        <f t="shared" si="49"/>
        <v>0</v>
      </c>
      <c r="Y20" s="52">
        <f t="shared" si="50"/>
        <v>0</v>
      </c>
      <c r="Z20" s="52">
        <f t="shared" si="51"/>
        <v>0</v>
      </c>
      <c r="AA20" s="52">
        <f t="shared" si="52"/>
        <v>0</v>
      </c>
      <c r="AB20" s="193">
        <f t="shared" si="53"/>
        <v>0</v>
      </c>
      <c r="AC20" s="52">
        <f t="shared" si="54"/>
        <v>0</v>
      </c>
    </row>
    <row r="21" spans="1:29" ht="14.25" hidden="1" customHeight="1" x14ac:dyDescent="0.2">
      <c r="A21" s="50">
        <f>'BİLGİ GİRİŞİ'!A16</f>
        <v>14</v>
      </c>
      <c r="B21" s="90">
        <f>'BİLGİ GİRİŞİ'!B16</f>
        <v>0</v>
      </c>
      <c r="C21" s="90">
        <f>'BİLGİ GİRİŞİ'!C16</f>
        <v>0</v>
      </c>
      <c r="D21" s="50">
        <f t="shared" si="42"/>
        <v>0</v>
      </c>
      <c r="E21" s="50"/>
      <c r="F21" s="50"/>
      <c r="G21" s="50"/>
      <c r="H21" s="50">
        <f>'BİLGİ GİRİŞİ'!G16</f>
        <v>0</v>
      </c>
      <c r="I21" s="51">
        <f t="shared" si="1"/>
        <v>32.962299999999999</v>
      </c>
      <c r="J21" s="192"/>
      <c r="K21" s="192"/>
      <c r="L21" s="192"/>
      <c r="M21" s="192"/>
      <c r="N21" s="192"/>
      <c r="O21" s="52">
        <f t="shared" si="43"/>
        <v>0</v>
      </c>
      <c r="P21" s="52">
        <f t="shared" si="44"/>
        <v>0</v>
      </c>
      <c r="Q21" s="52">
        <f t="shared" si="45"/>
        <v>0</v>
      </c>
      <c r="R21" s="52">
        <f>ASG.GEÇ.İND.BORD.!E19</f>
        <v>0</v>
      </c>
      <c r="S21" s="52">
        <f>'BİLGİ GİRİŞİ'!U16</f>
        <v>0</v>
      </c>
      <c r="T21" s="52">
        <f t="shared" si="46"/>
        <v>0</v>
      </c>
      <c r="U21" s="52">
        <f t="shared" si="47"/>
        <v>0</v>
      </c>
      <c r="V21" s="52">
        <f t="shared" si="48"/>
        <v>0</v>
      </c>
      <c r="W21" s="52">
        <f>'BİLGİ GİRİŞİ'!H16</f>
        <v>0</v>
      </c>
      <c r="X21" s="52">
        <f t="shared" si="49"/>
        <v>0</v>
      </c>
      <c r="Y21" s="52">
        <f t="shared" si="50"/>
        <v>0</v>
      </c>
      <c r="Z21" s="52">
        <f t="shared" si="51"/>
        <v>0</v>
      </c>
      <c r="AA21" s="52">
        <f t="shared" si="52"/>
        <v>0</v>
      </c>
      <c r="AB21" s="193">
        <f t="shared" si="53"/>
        <v>0</v>
      </c>
      <c r="AC21" s="52">
        <f t="shared" si="54"/>
        <v>0</v>
      </c>
    </row>
    <row r="22" spans="1:29" ht="14.25" hidden="1" customHeight="1" x14ac:dyDescent="0.2">
      <c r="A22" s="50">
        <f>'BİLGİ GİRİŞİ'!A17</f>
        <v>15</v>
      </c>
      <c r="B22" s="90">
        <f>'BİLGİ GİRİŞİ'!B17</f>
        <v>0</v>
      </c>
      <c r="C22" s="90">
        <f>'BİLGİ GİRİŞİ'!C17</f>
        <v>0</v>
      </c>
      <c r="D22" s="50">
        <f t="shared" si="42"/>
        <v>0</v>
      </c>
      <c r="E22" s="50"/>
      <c r="F22" s="50"/>
      <c r="G22" s="50"/>
      <c r="H22" s="50">
        <f>'BİLGİ GİRİŞİ'!G17</f>
        <v>0</v>
      </c>
      <c r="I22" s="51">
        <f t="shared" si="1"/>
        <v>32.962299999999999</v>
      </c>
      <c r="J22" s="192"/>
      <c r="K22" s="192"/>
      <c r="L22" s="192"/>
      <c r="M22" s="192"/>
      <c r="N22" s="192"/>
      <c r="O22" s="52">
        <f t="shared" si="43"/>
        <v>0</v>
      </c>
      <c r="P22" s="52">
        <f t="shared" si="44"/>
        <v>0</v>
      </c>
      <c r="Q22" s="52">
        <f t="shared" si="45"/>
        <v>0</v>
      </c>
      <c r="R22" s="52">
        <f>ASG.GEÇ.İND.BORD.!E20</f>
        <v>0</v>
      </c>
      <c r="S22" s="52">
        <f>'BİLGİ GİRİŞİ'!U17</f>
        <v>0</v>
      </c>
      <c r="T22" s="52">
        <f t="shared" si="46"/>
        <v>0</v>
      </c>
      <c r="U22" s="52">
        <f t="shared" si="47"/>
        <v>0</v>
      </c>
      <c r="V22" s="52">
        <f t="shared" si="48"/>
        <v>0</v>
      </c>
      <c r="W22" s="52">
        <f>'BİLGİ GİRİŞİ'!H17</f>
        <v>0</v>
      </c>
      <c r="X22" s="52">
        <f t="shared" si="49"/>
        <v>0</v>
      </c>
      <c r="Y22" s="52">
        <f t="shared" si="50"/>
        <v>0</v>
      </c>
      <c r="Z22" s="52">
        <f t="shared" si="51"/>
        <v>0</v>
      </c>
      <c r="AA22" s="52">
        <f t="shared" si="52"/>
        <v>0</v>
      </c>
      <c r="AB22" s="193">
        <f t="shared" si="53"/>
        <v>0</v>
      </c>
      <c r="AC22" s="52">
        <f t="shared" si="54"/>
        <v>0</v>
      </c>
    </row>
    <row r="23" spans="1:29" ht="14.25" hidden="1" customHeight="1" x14ac:dyDescent="0.2">
      <c r="A23" s="50">
        <f>'BİLGİ GİRİŞİ'!A18</f>
        <v>16</v>
      </c>
      <c r="B23" s="90">
        <f>'BİLGİ GİRİŞİ'!B18</f>
        <v>0</v>
      </c>
      <c r="C23" s="90">
        <f>'BİLGİ GİRİŞİ'!C18</f>
        <v>0</v>
      </c>
      <c r="D23" s="50">
        <f t="shared" si="42"/>
        <v>0</v>
      </c>
      <c r="E23" s="50"/>
      <c r="F23" s="50"/>
      <c r="G23" s="50"/>
      <c r="H23" s="50">
        <f>'BİLGİ GİRİŞİ'!G18</f>
        <v>0</v>
      </c>
      <c r="I23" s="51">
        <f t="shared" si="1"/>
        <v>32.962299999999999</v>
      </c>
      <c r="J23" s="192"/>
      <c r="K23" s="192"/>
      <c r="L23" s="192"/>
      <c r="M23" s="192"/>
      <c r="N23" s="192"/>
      <c r="O23" s="52">
        <f t="shared" si="43"/>
        <v>0</v>
      </c>
      <c r="P23" s="52">
        <f t="shared" si="44"/>
        <v>0</v>
      </c>
      <c r="Q23" s="52">
        <f t="shared" si="45"/>
        <v>0</v>
      </c>
      <c r="R23" s="52">
        <f>ASG.GEÇ.İND.BORD.!E21</f>
        <v>0</v>
      </c>
      <c r="S23" s="52">
        <f>'BİLGİ GİRİŞİ'!U18</f>
        <v>0</v>
      </c>
      <c r="T23" s="52">
        <f t="shared" si="46"/>
        <v>0</v>
      </c>
      <c r="U23" s="52">
        <f t="shared" si="47"/>
        <v>0</v>
      </c>
      <c r="V23" s="52">
        <f t="shared" si="48"/>
        <v>0</v>
      </c>
      <c r="W23" s="52">
        <f>'BİLGİ GİRİŞİ'!H18</f>
        <v>0</v>
      </c>
      <c r="X23" s="52">
        <f t="shared" si="49"/>
        <v>0</v>
      </c>
      <c r="Y23" s="52">
        <f t="shared" si="50"/>
        <v>0</v>
      </c>
      <c r="Z23" s="52">
        <f t="shared" si="51"/>
        <v>0</v>
      </c>
      <c r="AA23" s="52">
        <f t="shared" si="52"/>
        <v>0</v>
      </c>
      <c r="AB23" s="193">
        <f t="shared" si="53"/>
        <v>0</v>
      </c>
      <c r="AC23" s="52">
        <f t="shared" si="54"/>
        <v>0</v>
      </c>
    </row>
    <row r="24" spans="1:29" ht="14.25" hidden="1" customHeight="1" x14ac:dyDescent="0.2">
      <c r="A24" s="50">
        <f>'BİLGİ GİRİŞİ'!A19</f>
        <v>17</v>
      </c>
      <c r="B24" s="90">
        <f>'BİLGİ GİRİŞİ'!B19</f>
        <v>0</v>
      </c>
      <c r="C24" s="90">
        <f>'BİLGİ GİRİŞİ'!C19</f>
        <v>0</v>
      </c>
      <c r="D24" s="50">
        <f t="shared" si="42"/>
        <v>0</v>
      </c>
      <c r="E24" s="50"/>
      <c r="F24" s="50"/>
      <c r="G24" s="50"/>
      <c r="H24" s="50">
        <f>'BİLGİ GİRİŞİ'!G19</f>
        <v>0</v>
      </c>
      <c r="I24" s="51">
        <f t="shared" si="1"/>
        <v>32.962299999999999</v>
      </c>
      <c r="J24" s="192"/>
      <c r="K24" s="192"/>
      <c r="L24" s="192"/>
      <c r="M24" s="192"/>
      <c r="N24" s="192"/>
      <c r="O24" s="52">
        <f t="shared" si="43"/>
        <v>0</v>
      </c>
      <c r="P24" s="52">
        <f t="shared" si="44"/>
        <v>0</v>
      </c>
      <c r="Q24" s="52">
        <f t="shared" si="45"/>
        <v>0</v>
      </c>
      <c r="R24" s="52">
        <f>ASG.GEÇ.İND.BORD.!E22</f>
        <v>0</v>
      </c>
      <c r="S24" s="52">
        <f>'BİLGİ GİRİŞİ'!U19</f>
        <v>0</v>
      </c>
      <c r="T24" s="52">
        <f t="shared" si="46"/>
        <v>0</v>
      </c>
      <c r="U24" s="52">
        <f t="shared" si="47"/>
        <v>0</v>
      </c>
      <c r="V24" s="52">
        <f t="shared" si="48"/>
        <v>0</v>
      </c>
      <c r="W24" s="52">
        <f>'BİLGİ GİRİŞİ'!H19</f>
        <v>0</v>
      </c>
      <c r="X24" s="52">
        <f t="shared" si="49"/>
        <v>0</v>
      </c>
      <c r="Y24" s="52">
        <f t="shared" si="50"/>
        <v>0</v>
      </c>
      <c r="Z24" s="52">
        <f t="shared" si="51"/>
        <v>0</v>
      </c>
      <c r="AA24" s="52">
        <f t="shared" si="52"/>
        <v>0</v>
      </c>
      <c r="AB24" s="193">
        <f t="shared" si="53"/>
        <v>0</v>
      </c>
      <c r="AC24" s="52">
        <f t="shared" si="54"/>
        <v>0</v>
      </c>
    </row>
    <row r="25" spans="1:29" ht="14.25" hidden="1" customHeight="1" x14ac:dyDescent="0.2">
      <c r="A25" s="50">
        <f>'BİLGİ GİRİŞİ'!A20</f>
        <v>18</v>
      </c>
      <c r="B25" s="90">
        <f>'BİLGİ GİRİŞİ'!B20</f>
        <v>0</v>
      </c>
      <c r="C25" s="90">
        <f>'BİLGİ GİRİŞİ'!C20</f>
        <v>0</v>
      </c>
      <c r="D25" s="50">
        <f t="shared" si="42"/>
        <v>0</v>
      </c>
      <c r="E25" s="50"/>
      <c r="F25" s="50"/>
      <c r="G25" s="50"/>
      <c r="H25" s="50">
        <f>'BİLGİ GİRİŞİ'!G20</f>
        <v>0</v>
      </c>
      <c r="I25" s="51">
        <f t="shared" si="1"/>
        <v>32.962299999999999</v>
      </c>
      <c r="J25" s="192"/>
      <c r="K25" s="192"/>
      <c r="L25" s="192"/>
      <c r="M25" s="192"/>
      <c r="N25" s="192"/>
      <c r="O25" s="52">
        <f t="shared" si="43"/>
        <v>0</v>
      </c>
      <c r="P25" s="52">
        <f t="shared" si="44"/>
        <v>0</v>
      </c>
      <c r="Q25" s="52">
        <f t="shared" si="45"/>
        <v>0</v>
      </c>
      <c r="R25" s="52">
        <f>ASG.GEÇ.İND.BORD.!E23</f>
        <v>0</v>
      </c>
      <c r="S25" s="52">
        <f>'BİLGİ GİRİŞİ'!U20</f>
        <v>0</v>
      </c>
      <c r="T25" s="52">
        <f t="shared" si="46"/>
        <v>0</v>
      </c>
      <c r="U25" s="52">
        <f t="shared" si="47"/>
        <v>0</v>
      </c>
      <c r="V25" s="52">
        <f t="shared" si="48"/>
        <v>0</v>
      </c>
      <c r="W25" s="52">
        <f>'BİLGİ GİRİŞİ'!H20</f>
        <v>0</v>
      </c>
      <c r="X25" s="52">
        <f t="shared" si="49"/>
        <v>0</v>
      </c>
      <c r="Y25" s="52">
        <f t="shared" si="50"/>
        <v>0</v>
      </c>
      <c r="Z25" s="52">
        <f t="shared" si="51"/>
        <v>0</v>
      </c>
      <c r="AA25" s="52">
        <f t="shared" si="52"/>
        <v>0</v>
      </c>
      <c r="AB25" s="193">
        <f t="shared" si="53"/>
        <v>0</v>
      </c>
      <c r="AC25" s="52">
        <f t="shared" si="54"/>
        <v>0</v>
      </c>
    </row>
    <row r="26" spans="1:29" ht="14.25" hidden="1" customHeight="1" x14ac:dyDescent="0.2">
      <c r="A26" s="50">
        <f>'BİLGİ GİRİŞİ'!A21</f>
        <v>19</v>
      </c>
      <c r="B26" s="90">
        <f>'BİLGİ GİRİŞİ'!B21</f>
        <v>0</v>
      </c>
      <c r="C26" s="90">
        <f>'BİLGİ GİRİŞİ'!C21</f>
        <v>0</v>
      </c>
      <c r="D26" s="50">
        <f t="shared" si="42"/>
        <v>0</v>
      </c>
      <c r="E26" s="50"/>
      <c r="F26" s="50"/>
      <c r="G26" s="50"/>
      <c r="H26" s="50">
        <f>'BİLGİ GİRİŞİ'!G21</f>
        <v>0</v>
      </c>
      <c r="I26" s="51">
        <f t="shared" si="1"/>
        <v>32.962299999999999</v>
      </c>
      <c r="J26" s="192"/>
      <c r="K26" s="192"/>
      <c r="L26" s="192"/>
      <c r="M26" s="192"/>
      <c r="N26" s="192"/>
      <c r="O26" s="52">
        <f t="shared" si="43"/>
        <v>0</v>
      </c>
      <c r="P26" s="52">
        <f t="shared" si="44"/>
        <v>0</v>
      </c>
      <c r="Q26" s="52">
        <f t="shared" si="45"/>
        <v>0</v>
      </c>
      <c r="R26" s="52">
        <f>ASG.GEÇ.İND.BORD.!E24</f>
        <v>0</v>
      </c>
      <c r="S26" s="52">
        <f>'BİLGİ GİRİŞİ'!U21</f>
        <v>0</v>
      </c>
      <c r="T26" s="52">
        <f t="shared" si="46"/>
        <v>0</v>
      </c>
      <c r="U26" s="52">
        <f t="shared" si="47"/>
        <v>0</v>
      </c>
      <c r="V26" s="52">
        <f t="shared" si="48"/>
        <v>0</v>
      </c>
      <c r="W26" s="52">
        <f>'BİLGİ GİRİŞİ'!H21</f>
        <v>0</v>
      </c>
      <c r="X26" s="52">
        <f t="shared" si="49"/>
        <v>0</v>
      </c>
      <c r="Y26" s="52">
        <f t="shared" si="50"/>
        <v>0</v>
      </c>
      <c r="Z26" s="52">
        <f t="shared" si="51"/>
        <v>0</v>
      </c>
      <c r="AA26" s="52">
        <f t="shared" si="52"/>
        <v>0</v>
      </c>
      <c r="AB26" s="193">
        <f t="shared" si="53"/>
        <v>0</v>
      </c>
      <c r="AC26" s="52">
        <f t="shared" si="54"/>
        <v>0</v>
      </c>
    </row>
    <row r="27" spans="1:29" ht="14.25" hidden="1" customHeight="1" x14ac:dyDescent="0.2">
      <c r="A27" s="50">
        <f>'BİLGİ GİRİŞİ'!A22</f>
        <v>20</v>
      </c>
      <c r="B27" s="90">
        <f>'BİLGİ GİRİŞİ'!B22</f>
        <v>0</v>
      </c>
      <c r="C27" s="90">
        <f>'BİLGİ GİRİŞİ'!C22</f>
        <v>0</v>
      </c>
      <c r="D27" s="50">
        <f t="shared" si="42"/>
        <v>0</v>
      </c>
      <c r="E27" s="50"/>
      <c r="F27" s="50"/>
      <c r="G27" s="50"/>
      <c r="H27" s="50">
        <f>'BİLGİ GİRİŞİ'!G22</f>
        <v>0</v>
      </c>
      <c r="I27" s="51">
        <f t="shared" si="1"/>
        <v>32.962299999999999</v>
      </c>
      <c r="J27" s="192"/>
      <c r="K27" s="192"/>
      <c r="L27" s="192"/>
      <c r="M27" s="192"/>
      <c r="N27" s="192"/>
      <c r="O27" s="52">
        <f t="shared" si="43"/>
        <v>0</v>
      </c>
      <c r="P27" s="52">
        <f t="shared" si="44"/>
        <v>0</v>
      </c>
      <c r="Q27" s="52">
        <f t="shared" si="45"/>
        <v>0</v>
      </c>
      <c r="R27" s="52">
        <f>ASG.GEÇ.İND.BORD.!E25</f>
        <v>0</v>
      </c>
      <c r="S27" s="52">
        <f>'BİLGİ GİRİŞİ'!U22</f>
        <v>0</v>
      </c>
      <c r="T27" s="52">
        <f t="shared" si="46"/>
        <v>0</v>
      </c>
      <c r="U27" s="52">
        <f t="shared" si="47"/>
        <v>0</v>
      </c>
      <c r="V27" s="52">
        <f t="shared" si="48"/>
        <v>0</v>
      </c>
      <c r="W27" s="52">
        <f>'BİLGİ GİRİŞİ'!H22</f>
        <v>0</v>
      </c>
      <c r="X27" s="52">
        <f t="shared" si="49"/>
        <v>0</v>
      </c>
      <c r="Y27" s="52">
        <f t="shared" si="50"/>
        <v>0</v>
      </c>
      <c r="Z27" s="52">
        <f t="shared" si="51"/>
        <v>0</v>
      </c>
      <c r="AA27" s="52">
        <f t="shared" si="52"/>
        <v>0</v>
      </c>
      <c r="AB27" s="193">
        <f t="shared" si="53"/>
        <v>0</v>
      </c>
      <c r="AC27" s="52">
        <f t="shared" si="54"/>
        <v>0</v>
      </c>
    </row>
    <row r="28" spans="1:29" ht="14.25" hidden="1" customHeight="1" x14ac:dyDescent="0.2">
      <c r="A28" s="50">
        <f>'BİLGİ GİRİŞİ'!A23</f>
        <v>21</v>
      </c>
      <c r="B28" s="90">
        <f>'BİLGİ GİRİŞİ'!B23</f>
        <v>0</v>
      </c>
      <c r="C28" s="90">
        <f>'BİLGİ GİRİŞİ'!C23</f>
        <v>0</v>
      </c>
      <c r="D28" s="50">
        <f t="shared" si="42"/>
        <v>0</v>
      </c>
      <c r="E28" s="50"/>
      <c r="F28" s="50"/>
      <c r="G28" s="50"/>
      <c r="H28" s="50">
        <f>'BİLGİ GİRİŞİ'!G23</f>
        <v>0</v>
      </c>
      <c r="I28" s="51">
        <f t="shared" si="1"/>
        <v>32.962299999999999</v>
      </c>
      <c r="J28" s="192"/>
      <c r="K28" s="192"/>
      <c r="L28" s="192"/>
      <c r="M28" s="192"/>
      <c r="N28" s="192"/>
      <c r="O28" s="52">
        <f t="shared" si="43"/>
        <v>0</v>
      </c>
      <c r="P28" s="52">
        <f t="shared" si="44"/>
        <v>0</v>
      </c>
      <c r="Q28" s="52">
        <f t="shared" si="45"/>
        <v>0</v>
      </c>
      <c r="R28" s="52">
        <f>ASG.GEÇ.İND.BORD.!E26</f>
        <v>0</v>
      </c>
      <c r="S28" s="52">
        <f>'BİLGİ GİRİŞİ'!U23</f>
        <v>0</v>
      </c>
      <c r="T28" s="52">
        <f t="shared" si="46"/>
        <v>0</v>
      </c>
      <c r="U28" s="52">
        <f t="shared" si="47"/>
        <v>0</v>
      </c>
      <c r="V28" s="52">
        <f t="shared" si="48"/>
        <v>0</v>
      </c>
      <c r="W28" s="52">
        <f>'BİLGİ GİRİŞİ'!H23</f>
        <v>0</v>
      </c>
      <c r="X28" s="52">
        <f t="shared" si="49"/>
        <v>0</v>
      </c>
      <c r="Y28" s="52">
        <f t="shared" si="50"/>
        <v>0</v>
      </c>
      <c r="Z28" s="52">
        <f t="shared" si="51"/>
        <v>0</v>
      </c>
      <c r="AA28" s="52">
        <f t="shared" si="52"/>
        <v>0</v>
      </c>
      <c r="AB28" s="193">
        <f t="shared" si="53"/>
        <v>0</v>
      </c>
      <c r="AC28" s="52">
        <f t="shared" si="54"/>
        <v>0</v>
      </c>
    </row>
    <row r="29" spans="1:29" ht="14.25" hidden="1" customHeight="1" x14ac:dyDescent="0.2">
      <c r="A29" s="50">
        <f>'BİLGİ GİRİŞİ'!A24</f>
        <v>22</v>
      </c>
      <c r="B29" s="90">
        <f>'BİLGİ GİRİŞİ'!B24</f>
        <v>0</v>
      </c>
      <c r="C29" s="90">
        <f>'BİLGİ GİRİŞİ'!C24</f>
        <v>0</v>
      </c>
      <c r="D29" s="50">
        <f t="shared" si="42"/>
        <v>0</v>
      </c>
      <c r="E29" s="50"/>
      <c r="F29" s="50"/>
      <c r="G29" s="50"/>
      <c r="H29" s="50">
        <f>'BİLGİ GİRİŞİ'!G24</f>
        <v>0</v>
      </c>
      <c r="I29" s="51">
        <f t="shared" si="1"/>
        <v>32.962299999999999</v>
      </c>
      <c r="J29" s="192"/>
      <c r="K29" s="192"/>
      <c r="L29" s="192"/>
      <c r="M29" s="192"/>
      <c r="N29" s="192"/>
      <c r="O29" s="52">
        <f t="shared" si="43"/>
        <v>0</v>
      </c>
      <c r="P29" s="52">
        <f t="shared" si="44"/>
        <v>0</v>
      </c>
      <c r="Q29" s="52">
        <f t="shared" si="45"/>
        <v>0</v>
      </c>
      <c r="R29" s="52">
        <f>ASG.GEÇ.İND.BORD.!E27</f>
        <v>0</v>
      </c>
      <c r="S29" s="52">
        <f>'BİLGİ GİRİŞİ'!U24</f>
        <v>0</v>
      </c>
      <c r="T29" s="52">
        <f t="shared" si="46"/>
        <v>0</v>
      </c>
      <c r="U29" s="52">
        <f t="shared" si="47"/>
        <v>0</v>
      </c>
      <c r="V29" s="52">
        <f t="shared" si="48"/>
        <v>0</v>
      </c>
      <c r="W29" s="52">
        <f>'BİLGİ GİRİŞİ'!H24</f>
        <v>0</v>
      </c>
      <c r="X29" s="52">
        <f t="shared" si="49"/>
        <v>0</v>
      </c>
      <c r="Y29" s="52">
        <f t="shared" si="50"/>
        <v>0</v>
      </c>
      <c r="Z29" s="52">
        <f t="shared" si="51"/>
        <v>0</v>
      </c>
      <c r="AA29" s="52">
        <f t="shared" si="52"/>
        <v>0</v>
      </c>
      <c r="AB29" s="193">
        <f t="shared" si="53"/>
        <v>0</v>
      </c>
      <c r="AC29" s="52">
        <f t="shared" si="54"/>
        <v>0</v>
      </c>
    </row>
    <row r="30" spans="1:29" ht="14.25" hidden="1" customHeight="1" x14ac:dyDescent="0.2">
      <c r="A30" s="50">
        <f>'BİLGİ GİRİŞİ'!A25</f>
        <v>23</v>
      </c>
      <c r="B30" s="90">
        <f>'BİLGİ GİRİŞİ'!B25</f>
        <v>0</v>
      </c>
      <c r="C30" s="90">
        <f>'BİLGİ GİRİŞİ'!C25</f>
        <v>0</v>
      </c>
      <c r="D30" s="50">
        <f t="shared" si="42"/>
        <v>0</v>
      </c>
      <c r="E30" s="50"/>
      <c r="F30" s="50"/>
      <c r="G30" s="50"/>
      <c r="H30" s="50">
        <f>'BİLGİ GİRİŞİ'!G25</f>
        <v>0</v>
      </c>
      <c r="I30" s="51">
        <f t="shared" si="1"/>
        <v>32.962299999999999</v>
      </c>
      <c r="J30" s="192"/>
      <c r="K30" s="192"/>
      <c r="L30" s="192"/>
      <c r="M30" s="192"/>
      <c r="N30" s="192"/>
      <c r="O30" s="52">
        <f t="shared" si="43"/>
        <v>0</v>
      </c>
      <c r="P30" s="52">
        <f t="shared" si="44"/>
        <v>0</v>
      </c>
      <c r="Q30" s="52">
        <f t="shared" si="45"/>
        <v>0</v>
      </c>
      <c r="R30" s="52">
        <f>ASG.GEÇ.İND.BORD.!E28</f>
        <v>0</v>
      </c>
      <c r="S30" s="52">
        <f>'BİLGİ GİRİŞİ'!U25</f>
        <v>0</v>
      </c>
      <c r="T30" s="52">
        <f t="shared" si="46"/>
        <v>0</v>
      </c>
      <c r="U30" s="52">
        <f t="shared" si="47"/>
        <v>0</v>
      </c>
      <c r="V30" s="52">
        <f t="shared" si="48"/>
        <v>0</v>
      </c>
      <c r="W30" s="52">
        <f>'BİLGİ GİRİŞİ'!H25</f>
        <v>0</v>
      </c>
      <c r="X30" s="52">
        <f t="shared" si="49"/>
        <v>0</v>
      </c>
      <c r="Y30" s="52">
        <f t="shared" si="50"/>
        <v>0</v>
      </c>
      <c r="Z30" s="52">
        <f t="shared" si="51"/>
        <v>0</v>
      </c>
      <c r="AA30" s="52">
        <f t="shared" si="52"/>
        <v>0</v>
      </c>
      <c r="AB30" s="193">
        <f t="shared" si="53"/>
        <v>0</v>
      </c>
      <c r="AC30" s="52">
        <f t="shared" si="54"/>
        <v>0</v>
      </c>
    </row>
    <row r="31" spans="1:29" ht="14.25" hidden="1" customHeight="1" x14ac:dyDescent="0.2">
      <c r="A31" s="50">
        <f>'BİLGİ GİRİŞİ'!A26</f>
        <v>24</v>
      </c>
      <c r="B31" s="90">
        <f>'BİLGİ GİRİŞİ'!B26</f>
        <v>0</v>
      </c>
      <c r="C31" s="90">
        <f>'BİLGİ GİRİŞİ'!C26</f>
        <v>0</v>
      </c>
      <c r="D31" s="50">
        <f t="shared" si="42"/>
        <v>0</v>
      </c>
      <c r="E31" s="50"/>
      <c r="F31" s="50"/>
      <c r="G31" s="50"/>
      <c r="H31" s="50">
        <f>'BİLGİ GİRİŞİ'!G26</f>
        <v>0</v>
      </c>
      <c r="I31" s="51">
        <f t="shared" si="1"/>
        <v>32.962299999999999</v>
      </c>
      <c r="J31" s="192"/>
      <c r="K31" s="192"/>
      <c r="L31" s="192"/>
      <c r="M31" s="192"/>
      <c r="N31" s="192"/>
      <c r="O31" s="52">
        <f t="shared" si="43"/>
        <v>0</v>
      </c>
      <c r="P31" s="52">
        <f t="shared" si="44"/>
        <v>0</v>
      </c>
      <c r="Q31" s="52">
        <f t="shared" si="45"/>
        <v>0</v>
      </c>
      <c r="R31" s="52">
        <f>ASG.GEÇ.İND.BORD.!E29</f>
        <v>0</v>
      </c>
      <c r="S31" s="52">
        <f>'BİLGİ GİRİŞİ'!U26</f>
        <v>0</v>
      </c>
      <c r="T31" s="52">
        <f t="shared" si="46"/>
        <v>0</v>
      </c>
      <c r="U31" s="52">
        <f t="shared" si="47"/>
        <v>0</v>
      </c>
      <c r="V31" s="52">
        <f t="shared" si="48"/>
        <v>0</v>
      </c>
      <c r="W31" s="52">
        <f>'BİLGİ GİRİŞİ'!H26</f>
        <v>0</v>
      </c>
      <c r="X31" s="52">
        <f t="shared" si="49"/>
        <v>0</v>
      </c>
      <c r="Y31" s="52">
        <f t="shared" si="50"/>
        <v>0</v>
      </c>
      <c r="Z31" s="52">
        <f t="shared" si="51"/>
        <v>0</v>
      </c>
      <c r="AA31" s="52">
        <f t="shared" si="52"/>
        <v>0</v>
      </c>
      <c r="AB31" s="193">
        <f t="shared" si="53"/>
        <v>0</v>
      </c>
      <c r="AC31" s="52">
        <f t="shared" si="54"/>
        <v>0</v>
      </c>
    </row>
    <row r="32" spans="1:29" ht="14.25" hidden="1" customHeight="1" x14ac:dyDescent="0.2">
      <c r="A32" s="50">
        <f>'BİLGİ GİRİŞİ'!A27</f>
        <v>25</v>
      </c>
      <c r="B32" s="90">
        <f>'BİLGİ GİRİŞİ'!B27</f>
        <v>0</v>
      </c>
      <c r="C32" s="90">
        <f>'BİLGİ GİRİŞİ'!C27</f>
        <v>0</v>
      </c>
      <c r="D32" s="50">
        <f t="shared" si="42"/>
        <v>0</v>
      </c>
      <c r="E32" s="50"/>
      <c r="F32" s="50"/>
      <c r="G32" s="50"/>
      <c r="H32" s="50">
        <f>'BİLGİ GİRİŞİ'!G27</f>
        <v>0</v>
      </c>
      <c r="I32" s="51">
        <f t="shared" si="1"/>
        <v>32.962299999999999</v>
      </c>
      <c r="J32" s="192"/>
      <c r="K32" s="192"/>
      <c r="L32" s="192"/>
      <c r="M32" s="192"/>
      <c r="N32" s="192"/>
      <c r="O32" s="52">
        <f t="shared" si="43"/>
        <v>0</v>
      </c>
      <c r="P32" s="52">
        <f t="shared" si="44"/>
        <v>0</v>
      </c>
      <c r="Q32" s="52">
        <f t="shared" si="45"/>
        <v>0</v>
      </c>
      <c r="R32" s="52">
        <f>ASG.GEÇ.İND.BORD.!E30</f>
        <v>0</v>
      </c>
      <c r="S32" s="52">
        <f>'BİLGİ GİRİŞİ'!U27</f>
        <v>0</v>
      </c>
      <c r="T32" s="52">
        <f t="shared" si="46"/>
        <v>0</v>
      </c>
      <c r="U32" s="52">
        <f t="shared" si="47"/>
        <v>0</v>
      </c>
      <c r="V32" s="52">
        <f t="shared" si="48"/>
        <v>0</v>
      </c>
      <c r="W32" s="52">
        <f>'BİLGİ GİRİŞİ'!H27</f>
        <v>0</v>
      </c>
      <c r="X32" s="52">
        <f t="shared" si="49"/>
        <v>0</v>
      </c>
      <c r="Y32" s="52">
        <f t="shared" si="50"/>
        <v>0</v>
      </c>
      <c r="Z32" s="52">
        <f t="shared" si="51"/>
        <v>0</v>
      </c>
      <c r="AA32" s="52">
        <f t="shared" si="52"/>
        <v>0</v>
      </c>
      <c r="AB32" s="193">
        <f t="shared" si="53"/>
        <v>0</v>
      </c>
      <c r="AC32" s="52">
        <f t="shared" si="54"/>
        <v>0</v>
      </c>
    </row>
    <row r="33" spans="1:29" ht="14.25" hidden="1" customHeight="1" x14ac:dyDescent="0.2">
      <c r="A33" s="50">
        <f>'BİLGİ GİRİŞİ'!A28</f>
        <v>26</v>
      </c>
      <c r="B33" s="90">
        <f>'BİLGİ GİRİŞİ'!B28</f>
        <v>0</v>
      </c>
      <c r="C33" s="90">
        <f>'BİLGİ GİRİŞİ'!C28</f>
        <v>0</v>
      </c>
      <c r="D33" s="50">
        <f t="shared" si="42"/>
        <v>0</v>
      </c>
      <c r="E33" s="50"/>
      <c r="F33" s="50"/>
      <c r="G33" s="50"/>
      <c r="H33" s="50">
        <f>'BİLGİ GİRİŞİ'!G28</f>
        <v>0</v>
      </c>
      <c r="I33" s="51">
        <f t="shared" si="1"/>
        <v>32.962299999999999</v>
      </c>
      <c r="J33" s="192"/>
      <c r="K33" s="192"/>
      <c r="L33" s="192"/>
      <c r="M33" s="192"/>
      <c r="N33" s="192"/>
      <c r="O33" s="52">
        <f t="shared" si="43"/>
        <v>0</v>
      </c>
      <c r="P33" s="52">
        <f t="shared" si="44"/>
        <v>0</v>
      </c>
      <c r="Q33" s="52">
        <f t="shared" si="45"/>
        <v>0</v>
      </c>
      <c r="R33" s="52">
        <f>ASG.GEÇ.İND.BORD.!E31</f>
        <v>0</v>
      </c>
      <c r="S33" s="52">
        <f>'BİLGİ GİRİŞİ'!U28</f>
        <v>0</v>
      </c>
      <c r="T33" s="52">
        <f t="shared" si="46"/>
        <v>0</v>
      </c>
      <c r="U33" s="52">
        <f t="shared" si="47"/>
        <v>0</v>
      </c>
      <c r="V33" s="52">
        <f t="shared" si="48"/>
        <v>0</v>
      </c>
      <c r="W33" s="52">
        <f>'BİLGİ GİRİŞİ'!H28</f>
        <v>0</v>
      </c>
      <c r="X33" s="52">
        <f t="shared" si="49"/>
        <v>0</v>
      </c>
      <c r="Y33" s="52">
        <f t="shared" si="50"/>
        <v>0</v>
      </c>
      <c r="Z33" s="52">
        <f t="shared" si="51"/>
        <v>0</v>
      </c>
      <c r="AA33" s="52">
        <f t="shared" si="52"/>
        <v>0</v>
      </c>
      <c r="AB33" s="193">
        <f t="shared" si="53"/>
        <v>0</v>
      </c>
      <c r="AC33" s="52">
        <f t="shared" si="54"/>
        <v>0</v>
      </c>
    </row>
    <row r="34" spans="1:29" ht="14.25" hidden="1" customHeight="1" x14ac:dyDescent="0.2">
      <c r="A34" s="50">
        <f>'BİLGİ GİRİŞİ'!A29</f>
        <v>27</v>
      </c>
      <c r="B34" s="90">
        <f>'BİLGİ GİRİŞİ'!B29</f>
        <v>0</v>
      </c>
      <c r="C34" s="90">
        <f>'BİLGİ GİRİŞİ'!C29</f>
        <v>0</v>
      </c>
      <c r="D34" s="50">
        <f t="shared" si="42"/>
        <v>0</v>
      </c>
      <c r="E34" s="50"/>
      <c r="F34" s="50"/>
      <c r="G34" s="50"/>
      <c r="H34" s="50">
        <f>'BİLGİ GİRİŞİ'!G29</f>
        <v>0</v>
      </c>
      <c r="I34" s="51">
        <f t="shared" si="1"/>
        <v>32.962299999999999</v>
      </c>
      <c r="J34" s="192"/>
      <c r="K34" s="192"/>
      <c r="L34" s="192"/>
      <c r="M34" s="192"/>
      <c r="N34" s="192"/>
      <c r="O34" s="52">
        <f t="shared" si="43"/>
        <v>0</v>
      </c>
      <c r="P34" s="52">
        <f t="shared" si="44"/>
        <v>0</v>
      </c>
      <c r="Q34" s="52">
        <f t="shared" si="45"/>
        <v>0</v>
      </c>
      <c r="R34" s="52">
        <f>ASG.GEÇ.İND.BORD.!E32</f>
        <v>0</v>
      </c>
      <c r="S34" s="52">
        <f>'BİLGİ GİRİŞİ'!U29</f>
        <v>0</v>
      </c>
      <c r="T34" s="52">
        <f t="shared" si="46"/>
        <v>0</v>
      </c>
      <c r="U34" s="52">
        <f t="shared" si="47"/>
        <v>0</v>
      </c>
      <c r="V34" s="52">
        <f t="shared" si="48"/>
        <v>0</v>
      </c>
      <c r="W34" s="52">
        <f>'BİLGİ GİRİŞİ'!H29</f>
        <v>0</v>
      </c>
      <c r="X34" s="52">
        <f t="shared" si="49"/>
        <v>0</v>
      </c>
      <c r="Y34" s="52">
        <f t="shared" si="50"/>
        <v>0</v>
      </c>
      <c r="Z34" s="52">
        <f t="shared" si="51"/>
        <v>0</v>
      </c>
      <c r="AA34" s="52">
        <f t="shared" si="52"/>
        <v>0</v>
      </c>
      <c r="AB34" s="193">
        <f t="shared" si="53"/>
        <v>0</v>
      </c>
      <c r="AC34" s="52">
        <f t="shared" si="54"/>
        <v>0</v>
      </c>
    </row>
    <row r="35" spans="1:29" ht="14.25" hidden="1" customHeight="1" x14ac:dyDescent="0.2">
      <c r="A35" s="50">
        <f>'BİLGİ GİRİŞİ'!A30</f>
        <v>28</v>
      </c>
      <c r="B35" s="90">
        <f>'BİLGİ GİRİŞİ'!B30</f>
        <v>0</v>
      </c>
      <c r="C35" s="90">
        <f>'BİLGİ GİRİŞİ'!C30</f>
        <v>0</v>
      </c>
      <c r="D35" s="50">
        <f t="shared" si="42"/>
        <v>0</v>
      </c>
      <c r="E35" s="50"/>
      <c r="F35" s="50"/>
      <c r="G35" s="50"/>
      <c r="H35" s="50">
        <f>'BİLGİ GİRİŞİ'!G30</f>
        <v>0</v>
      </c>
      <c r="I35" s="51">
        <f t="shared" si="1"/>
        <v>32.962299999999999</v>
      </c>
      <c r="J35" s="192"/>
      <c r="K35" s="192"/>
      <c r="L35" s="192"/>
      <c r="M35" s="192"/>
      <c r="N35" s="192"/>
      <c r="O35" s="52">
        <f t="shared" si="43"/>
        <v>0</v>
      </c>
      <c r="P35" s="52">
        <f t="shared" si="44"/>
        <v>0</v>
      </c>
      <c r="Q35" s="52">
        <f t="shared" si="45"/>
        <v>0</v>
      </c>
      <c r="R35" s="52">
        <f>ASG.GEÇ.İND.BORD.!E33</f>
        <v>0</v>
      </c>
      <c r="S35" s="52">
        <f>'BİLGİ GİRİŞİ'!U30</f>
        <v>0</v>
      </c>
      <c r="T35" s="52">
        <f t="shared" si="46"/>
        <v>0</v>
      </c>
      <c r="U35" s="52">
        <f t="shared" si="47"/>
        <v>0</v>
      </c>
      <c r="V35" s="52">
        <f t="shared" si="48"/>
        <v>0</v>
      </c>
      <c r="W35" s="52">
        <f>'BİLGİ GİRİŞİ'!H30</f>
        <v>0</v>
      </c>
      <c r="X35" s="52">
        <f t="shared" si="49"/>
        <v>0</v>
      </c>
      <c r="Y35" s="52">
        <f t="shared" si="50"/>
        <v>0</v>
      </c>
      <c r="Z35" s="52">
        <f t="shared" si="51"/>
        <v>0</v>
      </c>
      <c r="AA35" s="52">
        <f t="shared" si="52"/>
        <v>0</v>
      </c>
      <c r="AB35" s="193">
        <f t="shared" si="53"/>
        <v>0</v>
      </c>
      <c r="AC35" s="52">
        <f t="shared" si="54"/>
        <v>0</v>
      </c>
    </row>
    <row r="36" spans="1:29" ht="14.25" hidden="1" customHeight="1" x14ac:dyDescent="0.2">
      <c r="A36" s="50">
        <f>'BİLGİ GİRİŞİ'!A31</f>
        <v>29</v>
      </c>
      <c r="B36" s="90">
        <f>'BİLGİ GİRİŞİ'!B31</f>
        <v>0</v>
      </c>
      <c r="C36" s="90">
        <f>'BİLGİ GİRİŞİ'!C31</f>
        <v>0</v>
      </c>
      <c r="D36" s="50">
        <f t="shared" si="42"/>
        <v>0</v>
      </c>
      <c r="E36" s="50"/>
      <c r="F36" s="50"/>
      <c r="G36" s="50"/>
      <c r="H36" s="50">
        <f>'BİLGİ GİRİŞİ'!G31</f>
        <v>0</v>
      </c>
      <c r="I36" s="51">
        <f t="shared" si="1"/>
        <v>32.962299999999999</v>
      </c>
      <c r="J36" s="192"/>
      <c r="K36" s="192"/>
      <c r="L36" s="192"/>
      <c r="M36" s="192"/>
      <c r="N36" s="192"/>
      <c r="O36" s="52">
        <f t="shared" si="43"/>
        <v>0</v>
      </c>
      <c r="P36" s="52">
        <f t="shared" si="44"/>
        <v>0</v>
      </c>
      <c r="Q36" s="52">
        <f t="shared" si="45"/>
        <v>0</v>
      </c>
      <c r="R36" s="52">
        <f>ASG.GEÇ.İND.BORD.!E34</f>
        <v>0</v>
      </c>
      <c r="S36" s="52">
        <f>'BİLGİ GİRİŞİ'!U31</f>
        <v>0</v>
      </c>
      <c r="T36" s="52">
        <f t="shared" si="46"/>
        <v>0</v>
      </c>
      <c r="U36" s="52">
        <f t="shared" si="47"/>
        <v>0</v>
      </c>
      <c r="V36" s="52">
        <f t="shared" si="48"/>
        <v>0</v>
      </c>
      <c r="W36" s="52">
        <f>'BİLGİ GİRİŞİ'!H31</f>
        <v>0</v>
      </c>
      <c r="X36" s="52">
        <f t="shared" si="49"/>
        <v>0</v>
      </c>
      <c r="Y36" s="52">
        <f t="shared" si="50"/>
        <v>0</v>
      </c>
      <c r="Z36" s="52">
        <f t="shared" si="51"/>
        <v>0</v>
      </c>
      <c r="AA36" s="52">
        <f t="shared" si="52"/>
        <v>0</v>
      </c>
      <c r="AB36" s="193">
        <f t="shared" si="53"/>
        <v>0</v>
      </c>
      <c r="AC36" s="52">
        <f t="shared" si="54"/>
        <v>0</v>
      </c>
    </row>
    <row r="37" spans="1:29" ht="14.25" hidden="1" customHeight="1" x14ac:dyDescent="0.2">
      <c r="A37" s="50">
        <f>'BİLGİ GİRİŞİ'!A32</f>
        <v>30</v>
      </c>
      <c r="B37" s="90">
        <f>'BİLGİ GİRİŞİ'!B32</f>
        <v>0</v>
      </c>
      <c r="C37" s="90">
        <f>'BİLGİ GİRİŞİ'!C32</f>
        <v>0</v>
      </c>
      <c r="D37" s="50">
        <f t="shared" si="42"/>
        <v>0</v>
      </c>
      <c r="E37" s="50"/>
      <c r="F37" s="50"/>
      <c r="G37" s="50"/>
      <c r="H37" s="50">
        <f>'BİLGİ GİRİŞİ'!G32</f>
        <v>0</v>
      </c>
      <c r="I37" s="51">
        <f t="shared" si="1"/>
        <v>32.962299999999999</v>
      </c>
      <c r="J37" s="192"/>
      <c r="K37" s="192"/>
      <c r="L37" s="192"/>
      <c r="M37" s="192"/>
      <c r="N37" s="192"/>
      <c r="O37" s="52">
        <f t="shared" si="43"/>
        <v>0</v>
      </c>
      <c r="P37" s="52">
        <f t="shared" si="44"/>
        <v>0</v>
      </c>
      <c r="Q37" s="52">
        <f t="shared" si="45"/>
        <v>0</v>
      </c>
      <c r="R37" s="52">
        <f>ASG.GEÇ.İND.BORD.!E35</f>
        <v>0</v>
      </c>
      <c r="S37" s="52">
        <f>'BİLGİ GİRİŞİ'!U32</f>
        <v>0</v>
      </c>
      <c r="T37" s="52">
        <f t="shared" si="46"/>
        <v>0</v>
      </c>
      <c r="U37" s="52">
        <f t="shared" si="47"/>
        <v>0</v>
      </c>
      <c r="V37" s="52">
        <f t="shared" si="48"/>
        <v>0</v>
      </c>
      <c r="W37" s="52">
        <f>'BİLGİ GİRİŞİ'!H32</f>
        <v>0</v>
      </c>
      <c r="X37" s="52">
        <f t="shared" si="49"/>
        <v>0</v>
      </c>
      <c r="Y37" s="52">
        <f t="shared" si="50"/>
        <v>0</v>
      </c>
      <c r="Z37" s="52">
        <f t="shared" si="51"/>
        <v>0</v>
      </c>
      <c r="AA37" s="52">
        <f t="shared" si="52"/>
        <v>0</v>
      </c>
      <c r="AB37" s="193">
        <f t="shared" si="53"/>
        <v>0</v>
      </c>
      <c r="AC37" s="52">
        <f t="shared" si="54"/>
        <v>0</v>
      </c>
    </row>
    <row r="38" spans="1:29" ht="14.25" hidden="1" customHeight="1" x14ac:dyDescent="0.2">
      <c r="A38" s="50">
        <f>'BİLGİ GİRİŞİ'!A33</f>
        <v>31</v>
      </c>
      <c r="B38" s="90">
        <f>'BİLGİ GİRİŞİ'!B33</f>
        <v>0</v>
      </c>
      <c r="C38" s="90">
        <f>'BİLGİ GİRİŞİ'!C33</f>
        <v>0</v>
      </c>
      <c r="D38" s="50">
        <f t="shared" si="42"/>
        <v>0</v>
      </c>
      <c r="E38" s="50"/>
      <c r="F38" s="50"/>
      <c r="G38" s="50"/>
      <c r="H38" s="50">
        <f>'BİLGİ GİRİŞİ'!G33</f>
        <v>0</v>
      </c>
      <c r="I38" s="51">
        <f t="shared" si="1"/>
        <v>32.962299999999999</v>
      </c>
      <c r="J38" s="192"/>
      <c r="K38" s="192"/>
      <c r="L38" s="192"/>
      <c r="M38" s="192"/>
      <c r="N38" s="192"/>
      <c r="O38" s="52">
        <f t="shared" si="43"/>
        <v>0</v>
      </c>
      <c r="P38" s="52">
        <f t="shared" si="44"/>
        <v>0</v>
      </c>
      <c r="Q38" s="52">
        <f t="shared" si="45"/>
        <v>0</v>
      </c>
      <c r="R38" s="52">
        <f>ASG.GEÇ.İND.BORD.!E36</f>
        <v>0</v>
      </c>
      <c r="S38" s="52">
        <f>'BİLGİ GİRİŞİ'!U33</f>
        <v>0</v>
      </c>
      <c r="T38" s="52">
        <f t="shared" si="46"/>
        <v>0</v>
      </c>
      <c r="U38" s="52">
        <f t="shared" si="47"/>
        <v>0</v>
      </c>
      <c r="V38" s="52">
        <f t="shared" si="48"/>
        <v>0</v>
      </c>
      <c r="W38" s="52">
        <f>'BİLGİ GİRİŞİ'!H33</f>
        <v>0</v>
      </c>
      <c r="X38" s="52">
        <f t="shared" si="49"/>
        <v>0</v>
      </c>
      <c r="Y38" s="52">
        <f t="shared" si="50"/>
        <v>0</v>
      </c>
      <c r="Z38" s="52">
        <f t="shared" si="51"/>
        <v>0</v>
      </c>
      <c r="AA38" s="52">
        <f t="shared" si="52"/>
        <v>0</v>
      </c>
      <c r="AB38" s="193">
        <f t="shared" si="53"/>
        <v>0</v>
      </c>
      <c r="AC38" s="52">
        <f t="shared" si="54"/>
        <v>0</v>
      </c>
    </row>
    <row r="39" spans="1:29" ht="14.25" hidden="1" customHeight="1" x14ac:dyDescent="0.2">
      <c r="A39" s="50">
        <f>'BİLGİ GİRİŞİ'!A34</f>
        <v>32</v>
      </c>
      <c r="B39" s="90">
        <f>'BİLGİ GİRİŞİ'!B34</f>
        <v>0</v>
      </c>
      <c r="C39" s="90">
        <f>'BİLGİ GİRİŞİ'!C34</f>
        <v>0</v>
      </c>
      <c r="D39" s="50">
        <f t="shared" si="42"/>
        <v>0</v>
      </c>
      <c r="E39" s="50"/>
      <c r="F39" s="50"/>
      <c r="G39" s="50"/>
      <c r="H39" s="50">
        <f>'BİLGİ GİRİŞİ'!G34</f>
        <v>0</v>
      </c>
      <c r="I39" s="51">
        <f t="shared" si="1"/>
        <v>32.962299999999999</v>
      </c>
      <c r="J39" s="192"/>
      <c r="K39" s="192"/>
      <c r="L39" s="192"/>
      <c r="M39" s="192"/>
      <c r="N39" s="192"/>
      <c r="O39" s="52">
        <f t="shared" si="43"/>
        <v>0</v>
      </c>
      <c r="P39" s="52">
        <f t="shared" si="44"/>
        <v>0</v>
      </c>
      <c r="Q39" s="52">
        <f t="shared" si="45"/>
        <v>0</v>
      </c>
      <c r="R39" s="52">
        <f>ASG.GEÇ.İND.BORD.!E37</f>
        <v>0</v>
      </c>
      <c r="S39" s="52">
        <f>'BİLGİ GİRİŞİ'!U34</f>
        <v>0</v>
      </c>
      <c r="T39" s="52">
        <f t="shared" si="46"/>
        <v>0</v>
      </c>
      <c r="U39" s="52">
        <f t="shared" si="47"/>
        <v>0</v>
      </c>
      <c r="V39" s="52">
        <f t="shared" si="48"/>
        <v>0</v>
      </c>
      <c r="W39" s="52">
        <f>'BİLGİ GİRİŞİ'!H34</f>
        <v>0</v>
      </c>
      <c r="X39" s="52">
        <f t="shared" si="49"/>
        <v>0</v>
      </c>
      <c r="Y39" s="52">
        <f t="shared" si="50"/>
        <v>0</v>
      </c>
      <c r="Z39" s="52">
        <f t="shared" si="51"/>
        <v>0</v>
      </c>
      <c r="AA39" s="52">
        <f t="shared" si="52"/>
        <v>0</v>
      </c>
      <c r="AB39" s="193">
        <f t="shared" si="53"/>
        <v>0</v>
      </c>
      <c r="AC39" s="52">
        <f t="shared" si="54"/>
        <v>0</v>
      </c>
    </row>
    <row r="40" spans="1:29" ht="14.25" hidden="1" customHeight="1" x14ac:dyDescent="0.2">
      <c r="A40" s="50">
        <f>'BİLGİ GİRİŞİ'!A35</f>
        <v>33</v>
      </c>
      <c r="B40" s="90">
        <f>'BİLGİ GİRİŞİ'!B35</f>
        <v>0</v>
      </c>
      <c r="C40" s="90">
        <f>'BİLGİ GİRİŞİ'!C35</f>
        <v>0</v>
      </c>
      <c r="D40" s="50">
        <f t="shared" si="42"/>
        <v>0</v>
      </c>
      <c r="E40" s="50"/>
      <c r="F40" s="50"/>
      <c r="G40" s="50"/>
      <c r="H40" s="50">
        <f>'BİLGİ GİRİŞİ'!G35</f>
        <v>0</v>
      </c>
      <c r="I40" s="51">
        <f t="shared" si="1"/>
        <v>32.962299999999999</v>
      </c>
      <c r="J40" s="192"/>
      <c r="K40" s="192"/>
      <c r="L40" s="192"/>
      <c r="M40" s="192"/>
      <c r="N40" s="192"/>
      <c r="O40" s="52">
        <f t="shared" si="43"/>
        <v>0</v>
      </c>
      <c r="P40" s="52">
        <f t="shared" si="44"/>
        <v>0</v>
      </c>
      <c r="Q40" s="52">
        <f t="shared" si="45"/>
        <v>0</v>
      </c>
      <c r="R40" s="52">
        <f>ASG.GEÇ.İND.BORD.!E38</f>
        <v>0</v>
      </c>
      <c r="S40" s="52">
        <f>'BİLGİ GİRİŞİ'!U35</f>
        <v>0</v>
      </c>
      <c r="T40" s="52">
        <f t="shared" si="46"/>
        <v>0</v>
      </c>
      <c r="U40" s="52">
        <f t="shared" si="47"/>
        <v>0</v>
      </c>
      <c r="V40" s="52">
        <f t="shared" si="48"/>
        <v>0</v>
      </c>
      <c r="W40" s="52">
        <f>'BİLGİ GİRİŞİ'!H35</f>
        <v>0</v>
      </c>
      <c r="X40" s="52">
        <f t="shared" si="49"/>
        <v>0</v>
      </c>
      <c r="Y40" s="52">
        <f t="shared" si="50"/>
        <v>0</v>
      </c>
      <c r="Z40" s="52">
        <f t="shared" si="51"/>
        <v>0</v>
      </c>
      <c r="AA40" s="52">
        <f t="shared" si="52"/>
        <v>0</v>
      </c>
      <c r="AB40" s="193">
        <f t="shared" si="53"/>
        <v>0</v>
      </c>
      <c r="AC40" s="52">
        <f t="shared" si="54"/>
        <v>0</v>
      </c>
    </row>
    <row r="41" spans="1:29" ht="14.25" hidden="1" customHeight="1" x14ac:dyDescent="0.2">
      <c r="A41" s="50">
        <f>'BİLGİ GİRİŞİ'!A36</f>
        <v>34</v>
      </c>
      <c r="B41" s="90">
        <f>'BİLGİ GİRİŞİ'!B36</f>
        <v>0</v>
      </c>
      <c r="C41" s="90">
        <f>'BİLGİ GİRİŞİ'!C36</f>
        <v>0</v>
      </c>
      <c r="D41" s="50">
        <f t="shared" si="42"/>
        <v>0</v>
      </c>
      <c r="E41" s="50"/>
      <c r="F41" s="50"/>
      <c r="G41" s="50"/>
      <c r="H41" s="50">
        <f>'BİLGİ GİRİŞİ'!G36</f>
        <v>0</v>
      </c>
      <c r="I41" s="51">
        <f t="shared" si="1"/>
        <v>32.962299999999999</v>
      </c>
      <c r="J41" s="192"/>
      <c r="K41" s="192"/>
      <c r="L41" s="192"/>
      <c r="M41" s="192"/>
      <c r="N41" s="192"/>
      <c r="O41" s="52">
        <f t="shared" si="43"/>
        <v>0</v>
      </c>
      <c r="P41" s="52">
        <f t="shared" si="44"/>
        <v>0</v>
      </c>
      <c r="Q41" s="52">
        <f t="shared" si="45"/>
        <v>0</v>
      </c>
      <c r="R41" s="52">
        <f>ASG.GEÇ.İND.BORD.!E39</f>
        <v>0</v>
      </c>
      <c r="S41" s="52">
        <f>'BİLGİ GİRİŞİ'!U36</f>
        <v>0</v>
      </c>
      <c r="T41" s="52">
        <f t="shared" si="46"/>
        <v>0</v>
      </c>
      <c r="U41" s="52">
        <f t="shared" si="47"/>
        <v>0</v>
      </c>
      <c r="V41" s="52">
        <f t="shared" si="48"/>
        <v>0</v>
      </c>
      <c r="W41" s="52">
        <f>'BİLGİ GİRİŞİ'!H36</f>
        <v>0</v>
      </c>
      <c r="X41" s="52">
        <f t="shared" si="49"/>
        <v>0</v>
      </c>
      <c r="Y41" s="52">
        <f t="shared" si="50"/>
        <v>0</v>
      </c>
      <c r="Z41" s="52">
        <f t="shared" si="51"/>
        <v>0</v>
      </c>
      <c r="AA41" s="52">
        <f t="shared" si="52"/>
        <v>0</v>
      </c>
      <c r="AB41" s="193">
        <f t="shared" si="53"/>
        <v>0</v>
      </c>
      <c r="AC41" s="52">
        <f t="shared" si="54"/>
        <v>0</v>
      </c>
    </row>
    <row r="42" spans="1:29" ht="14.25" hidden="1" customHeight="1" x14ac:dyDescent="0.2">
      <c r="A42" s="50">
        <f>'BİLGİ GİRİŞİ'!A37</f>
        <v>35</v>
      </c>
      <c r="B42" s="90">
        <f>'BİLGİ GİRİŞİ'!B37</f>
        <v>0</v>
      </c>
      <c r="C42" s="90">
        <f>'BİLGİ GİRİŞİ'!C37</f>
        <v>0</v>
      </c>
      <c r="D42" s="50">
        <f t="shared" si="42"/>
        <v>0</v>
      </c>
      <c r="E42" s="50"/>
      <c r="F42" s="50"/>
      <c r="G42" s="50"/>
      <c r="H42" s="50">
        <f>'BİLGİ GİRİŞİ'!G37</f>
        <v>0</v>
      </c>
      <c r="I42" s="51">
        <f t="shared" si="1"/>
        <v>32.962299999999999</v>
      </c>
      <c r="J42" s="192"/>
      <c r="K42" s="192"/>
      <c r="L42" s="192"/>
      <c r="M42" s="192"/>
      <c r="N42" s="192"/>
      <c r="O42" s="52">
        <f t="shared" si="43"/>
        <v>0</v>
      </c>
      <c r="P42" s="52">
        <f t="shared" si="44"/>
        <v>0</v>
      </c>
      <c r="Q42" s="52">
        <f t="shared" si="45"/>
        <v>0</v>
      </c>
      <c r="R42" s="52">
        <f>ASG.GEÇ.İND.BORD.!E40</f>
        <v>0</v>
      </c>
      <c r="S42" s="52">
        <f>'BİLGİ GİRİŞİ'!U37</f>
        <v>0</v>
      </c>
      <c r="T42" s="52">
        <f t="shared" si="46"/>
        <v>0</v>
      </c>
      <c r="U42" s="52">
        <f t="shared" si="47"/>
        <v>0</v>
      </c>
      <c r="V42" s="52">
        <f t="shared" si="48"/>
        <v>0</v>
      </c>
      <c r="W42" s="52">
        <f>'BİLGİ GİRİŞİ'!H37</f>
        <v>0</v>
      </c>
      <c r="X42" s="52">
        <f t="shared" si="49"/>
        <v>0</v>
      </c>
      <c r="Y42" s="52">
        <f t="shared" si="50"/>
        <v>0</v>
      </c>
      <c r="Z42" s="52">
        <f t="shared" si="51"/>
        <v>0</v>
      </c>
      <c r="AA42" s="52">
        <f t="shared" si="52"/>
        <v>0</v>
      </c>
      <c r="AB42" s="193">
        <f t="shared" si="53"/>
        <v>0</v>
      </c>
      <c r="AC42" s="52">
        <f t="shared" si="54"/>
        <v>0</v>
      </c>
    </row>
    <row r="43" spans="1:29" ht="14.25" hidden="1" customHeight="1" x14ac:dyDescent="0.2">
      <c r="A43" s="50">
        <f>'BİLGİ GİRİŞİ'!A38</f>
        <v>36</v>
      </c>
      <c r="B43" s="90">
        <f>'BİLGİ GİRİŞİ'!B38</f>
        <v>0</v>
      </c>
      <c r="C43" s="90">
        <f>'BİLGİ GİRİŞİ'!C38</f>
        <v>0</v>
      </c>
      <c r="D43" s="50">
        <f t="shared" si="42"/>
        <v>0</v>
      </c>
      <c r="E43" s="50"/>
      <c r="F43" s="50"/>
      <c r="G43" s="50"/>
      <c r="H43" s="50">
        <f>'BİLGİ GİRİŞİ'!G38</f>
        <v>0</v>
      </c>
      <c r="I43" s="51">
        <f t="shared" si="1"/>
        <v>32.962299999999999</v>
      </c>
      <c r="J43" s="192"/>
      <c r="K43" s="192"/>
      <c r="L43" s="192"/>
      <c r="M43" s="192"/>
      <c r="N43" s="192"/>
      <c r="O43" s="52">
        <f t="shared" si="43"/>
        <v>0</v>
      </c>
      <c r="P43" s="52">
        <f t="shared" si="44"/>
        <v>0</v>
      </c>
      <c r="Q43" s="52">
        <f t="shared" si="45"/>
        <v>0</v>
      </c>
      <c r="R43" s="52">
        <f>ASG.GEÇ.İND.BORD.!E41</f>
        <v>0</v>
      </c>
      <c r="S43" s="52">
        <f>'BİLGİ GİRİŞİ'!U38</f>
        <v>0</v>
      </c>
      <c r="T43" s="52">
        <f t="shared" si="46"/>
        <v>0</v>
      </c>
      <c r="U43" s="52">
        <f t="shared" si="47"/>
        <v>0</v>
      </c>
      <c r="V43" s="52">
        <f t="shared" si="48"/>
        <v>0</v>
      </c>
      <c r="W43" s="52">
        <f>'BİLGİ GİRİŞİ'!H38</f>
        <v>0</v>
      </c>
      <c r="X43" s="52">
        <f t="shared" si="49"/>
        <v>0</v>
      </c>
      <c r="Y43" s="52">
        <f t="shared" si="50"/>
        <v>0</v>
      </c>
      <c r="Z43" s="52">
        <f t="shared" si="51"/>
        <v>0</v>
      </c>
      <c r="AA43" s="52">
        <f t="shared" si="52"/>
        <v>0</v>
      </c>
      <c r="AB43" s="193">
        <f t="shared" si="53"/>
        <v>0</v>
      </c>
      <c r="AC43" s="52">
        <f t="shared" si="54"/>
        <v>0</v>
      </c>
    </row>
    <row r="44" spans="1:29" ht="14.25" hidden="1" customHeight="1" x14ac:dyDescent="0.2">
      <c r="A44" s="50">
        <f>'BİLGİ GİRİŞİ'!A39</f>
        <v>37</v>
      </c>
      <c r="B44" s="90">
        <f>'BİLGİ GİRİŞİ'!B39</f>
        <v>0</v>
      </c>
      <c r="C44" s="90">
        <f>'BİLGİ GİRİŞİ'!C39</f>
        <v>0</v>
      </c>
      <c r="D44" s="50">
        <f t="shared" si="42"/>
        <v>0</v>
      </c>
      <c r="E44" s="50"/>
      <c r="F44" s="50"/>
      <c r="G44" s="50"/>
      <c r="H44" s="50">
        <f>'BİLGİ GİRİŞİ'!G39</f>
        <v>0</v>
      </c>
      <c r="I44" s="51">
        <f t="shared" si="1"/>
        <v>32.962299999999999</v>
      </c>
      <c r="J44" s="192"/>
      <c r="K44" s="192"/>
      <c r="L44" s="192"/>
      <c r="M44" s="192"/>
      <c r="N44" s="192"/>
      <c r="O44" s="52">
        <f t="shared" si="43"/>
        <v>0</v>
      </c>
      <c r="P44" s="52">
        <f t="shared" si="44"/>
        <v>0</v>
      </c>
      <c r="Q44" s="52">
        <f t="shared" si="45"/>
        <v>0</v>
      </c>
      <c r="R44" s="52">
        <f>ASG.GEÇ.İND.BORD.!E42</f>
        <v>0</v>
      </c>
      <c r="S44" s="52">
        <f>'BİLGİ GİRİŞİ'!U39</f>
        <v>0</v>
      </c>
      <c r="T44" s="52">
        <f t="shared" si="46"/>
        <v>0</v>
      </c>
      <c r="U44" s="52">
        <f t="shared" si="47"/>
        <v>0</v>
      </c>
      <c r="V44" s="52">
        <f t="shared" si="48"/>
        <v>0</v>
      </c>
      <c r="W44" s="52">
        <f>'BİLGİ GİRİŞİ'!H39</f>
        <v>0</v>
      </c>
      <c r="X44" s="52">
        <f t="shared" si="49"/>
        <v>0</v>
      </c>
      <c r="Y44" s="52">
        <f t="shared" si="50"/>
        <v>0</v>
      </c>
      <c r="Z44" s="52">
        <f t="shared" si="51"/>
        <v>0</v>
      </c>
      <c r="AA44" s="52">
        <f t="shared" si="52"/>
        <v>0</v>
      </c>
      <c r="AB44" s="193">
        <f t="shared" si="53"/>
        <v>0</v>
      </c>
      <c r="AC44" s="52">
        <f t="shared" si="54"/>
        <v>0</v>
      </c>
    </row>
    <row r="45" spans="1:29" ht="14.25" hidden="1" customHeight="1" x14ac:dyDescent="0.2">
      <c r="A45" s="50">
        <f>'BİLGİ GİRİŞİ'!A40</f>
        <v>38</v>
      </c>
      <c r="B45" s="90">
        <f>'BİLGİ GİRİŞİ'!B40</f>
        <v>0</v>
      </c>
      <c r="C45" s="90">
        <f>'BİLGİ GİRİŞİ'!C40</f>
        <v>0</v>
      </c>
      <c r="D45" s="50">
        <f t="shared" si="42"/>
        <v>0</v>
      </c>
      <c r="E45" s="50"/>
      <c r="F45" s="50"/>
      <c r="G45" s="50"/>
      <c r="H45" s="50">
        <f>'BİLGİ GİRİŞİ'!G40</f>
        <v>0</v>
      </c>
      <c r="I45" s="51">
        <f t="shared" si="1"/>
        <v>32.962299999999999</v>
      </c>
      <c r="J45" s="192"/>
      <c r="K45" s="192"/>
      <c r="L45" s="192"/>
      <c r="M45" s="192"/>
      <c r="N45" s="192"/>
      <c r="O45" s="52">
        <f t="shared" si="43"/>
        <v>0</v>
      </c>
      <c r="P45" s="52">
        <f t="shared" si="44"/>
        <v>0</v>
      </c>
      <c r="Q45" s="52">
        <f t="shared" si="45"/>
        <v>0</v>
      </c>
      <c r="R45" s="52">
        <f>ASG.GEÇ.İND.BORD.!E43</f>
        <v>0</v>
      </c>
      <c r="S45" s="52">
        <f>'BİLGİ GİRİŞİ'!U40</f>
        <v>0</v>
      </c>
      <c r="T45" s="52">
        <f t="shared" si="46"/>
        <v>0</v>
      </c>
      <c r="U45" s="52">
        <f t="shared" si="47"/>
        <v>0</v>
      </c>
      <c r="V45" s="52">
        <f t="shared" si="48"/>
        <v>0</v>
      </c>
      <c r="W45" s="52">
        <f>'BİLGİ GİRİŞİ'!H40</f>
        <v>0</v>
      </c>
      <c r="X45" s="52">
        <f t="shared" si="49"/>
        <v>0</v>
      </c>
      <c r="Y45" s="52">
        <f t="shared" si="50"/>
        <v>0</v>
      </c>
      <c r="Z45" s="52">
        <f t="shared" si="51"/>
        <v>0</v>
      </c>
      <c r="AA45" s="52">
        <f t="shared" si="52"/>
        <v>0</v>
      </c>
      <c r="AB45" s="193">
        <f t="shared" si="53"/>
        <v>0</v>
      </c>
      <c r="AC45" s="52">
        <f t="shared" si="54"/>
        <v>0</v>
      </c>
    </row>
    <row r="46" spans="1:29" ht="14.25" hidden="1" customHeight="1" x14ac:dyDescent="0.2">
      <c r="A46" s="50">
        <f>'BİLGİ GİRİŞİ'!A41</f>
        <v>39</v>
      </c>
      <c r="B46" s="90">
        <f>'BİLGİ GİRİŞİ'!B41</f>
        <v>0</v>
      </c>
      <c r="C46" s="90">
        <f>'BİLGİ GİRİŞİ'!C41</f>
        <v>0</v>
      </c>
      <c r="D46" s="50">
        <f t="shared" si="42"/>
        <v>0</v>
      </c>
      <c r="E46" s="50"/>
      <c r="F46" s="50"/>
      <c r="G46" s="50"/>
      <c r="H46" s="50">
        <f>'BİLGİ GİRİŞİ'!G41</f>
        <v>0</v>
      </c>
      <c r="I46" s="51">
        <f t="shared" si="1"/>
        <v>32.962299999999999</v>
      </c>
      <c r="J46" s="192"/>
      <c r="K46" s="192"/>
      <c r="L46" s="192"/>
      <c r="M46" s="192"/>
      <c r="N46" s="192"/>
      <c r="O46" s="52">
        <f t="shared" si="43"/>
        <v>0</v>
      </c>
      <c r="P46" s="52">
        <f t="shared" si="44"/>
        <v>0</v>
      </c>
      <c r="Q46" s="52">
        <f t="shared" si="45"/>
        <v>0</v>
      </c>
      <c r="R46" s="52">
        <f>ASG.GEÇ.İND.BORD.!E44</f>
        <v>0</v>
      </c>
      <c r="S46" s="52">
        <f>'BİLGİ GİRİŞİ'!U41</f>
        <v>0</v>
      </c>
      <c r="T46" s="52">
        <f t="shared" si="46"/>
        <v>0</v>
      </c>
      <c r="U46" s="52">
        <f t="shared" si="47"/>
        <v>0</v>
      </c>
      <c r="V46" s="52">
        <f t="shared" si="48"/>
        <v>0</v>
      </c>
      <c r="W46" s="52">
        <f>'BİLGİ GİRİŞİ'!H41</f>
        <v>0</v>
      </c>
      <c r="X46" s="52">
        <f t="shared" si="49"/>
        <v>0</v>
      </c>
      <c r="Y46" s="52">
        <f t="shared" si="50"/>
        <v>0</v>
      </c>
      <c r="Z46" s="52">
        <f t="shared" si="51"/>
        <v>0</v>
      </c>
      <c r="AA46" s="52">
        <f t="shared" si="52"/>
        <v>0</v>
      </c>
      <c r="AB46" s="193">
        <f t="shared" si="53"/>
        <v>0</v>
      </c>
      <c r="AC46" s="52">
        <f t="shared" si="54"/>
        <v>0</v>
      </c>
    </row>
    <row r="47" spans="1:29" ht="14.25" hidden="1" customHeight="1" x14ac:dyDescent="0.2">
      <c r="A47" s="50">
        <f>'BİLGİ GİRİŞİ'!A42</f>
        <v>40</v>
      </c>
      <c r="B47" s="90">
        <f>'BİLGİ GİRİŞİ'!B42</f>
        <v>0</v>
      </c>
      <c r="C47" s="90">
        <f>'BİLGİ GİRİŞİ'!C42</f>
        <v>0</v>
      </c>
      <c r="D47" s="50">
        <f t="shared" si="42"/>
        <v>0</v>
      </c>
      <c r="E47" s="50"/>
      <c r="F47" s="50"/>
      <c r="G47" s="50"/>
      <c r="H47" s="50">
        <f>'BİLGİ GİRİŞİ'!G42</f>
        <v>0</v>
      </c>
      <c r="I47" s="51">
        <f t="shared" si="1"/>
        <v>32.962299999999999</v>
      </c>
      <c r="J47" s="192"/>
      <c r="K47" s="192"/>
      <c r="L47" s="192"/>
      <c r="M47" s="192"/>
      <c r="N47" s="192"/>
      <c r="O47" s="52">
        <f t="shared" si="43"/>
        <v>0</v>
      </c>
      <c r="P47" s="52">
        <f t="shared" si="44"/>
        <v>0</v>
      </c>
      <c r="Q47" s="52">
        <f t="shared" si="45"/>
        <v>0</v>
      </c>
      <c r="R47" s="52">
        <f>ASG.GEÇ.İND.BORD.!E45</f>
        <v>0</v>
      </c>
      <c r="S47" s="52">
        <f>'BİLGİ GİRİŞİ'!U42</f>
        <v>0</v>
      </c>
      <c r="T47" s="52">
        <f t="shared" si="46"/>
        <v>0</v>
      </c>
      <c r="U47" s="52">
        <f t="shared" si="47"/>
        <v>0</v>
      </c>
      <c r="V47" s="52">
        <f t="shared" si="48"/>
        <v>0</v>
      </c>
      <c r="W47" s="52">
        <f>'BİLGİ GİRİŞİ'!H42</f>
        <v>0</v>
      </c>
      <c r="X47" s="52">
        <f t="shared" si="49"/>
        <v>0</v>
      </c>
      <c r="Y47" s="52">
        <f t="shared" si="50"/>
        <v>0</v>
      </c>
      <c r="Z47" s="52">
        <f t="shared" si="51"/>
        <v>0</v>
      </c>
      <c r="AA47" s="52">
        <f t="shared" si="52"/>
        <v>0</v>
      </c>
      <c r="AB47" s="193">
        <f t="shared" si="53"/>
        <v>0</v>
      </c>
      <c r="AC47" s="52">
        <f t="shared" si="54"/>
        <v>0</v>
      </c>
    </row>
    <row r="48" spans="1:29" ht="14.25" hidden="1" customHeight="1" x14ac:dyDescent="0.2">
      <c r="A48" s="50">
        <f>'BİLGİ GİRİŞİ'!A43</f>
        <v>41</v>
      </c>
      <c r="B48" s="90">
        <f>'BİLGİ GİRİŞİ'!B43</f>
        <v>0</v>
      </c>
      <c r="C48" s="90">
        <f>'BİLGİ GİRİŞİ'!C43</f>
        <v>0</v>
      </c>
      <c r="D48" s="50">
        <f t="shared" si="42"/>
        <v>0</v>
      </c>
      <c r="E48" s="50"/>
      <c r="F48" s="50"/>
      <c r="G48" s="50"/>
      <c r="H48" s="50">
        <f>'BİLGİ GİRİŞİ'!G43</f>
        <v>0</v>
      </c>
      <c r="I48" s="51">
        <f t="shared" si="1"/>
        <v>32.962299999999999</v>
      </c>
      <c r="J48" s="192"/>
      <c r="K48" s="192"/>
      <c r="L48" s="192"/>
      <c r="M48" s="192"/>
      <c r="N48" s="192"/>
      <c r="O48" s="52">
        <f t="shared" si="43"/>
        <v>0</v>
      </c>
      <c r="P48" s="52">
        <f t="shared" si="44"/>
        <v>0</v>
      </c>
      <c r="Q48" s="52">
        <f t="shared" si="45"/>
        <v>0</v>
      </c>
      <c r="R48" s="52">
        <f>ASG.GEÇ.İND.BORD.!E46</f>
        <v>0</v>
      </c>
      <c r="S48" s="52">
        <f>'BİLGİ GİRİŞİ'!U43</f>
        <v>0</v>
      </c>
      <c r="T48" s="52">
        <f t="shared" si="46"/>
        <v>0</v>
      </c>
      <c r="U48" s="52">
        <f t="shared" si="47"/>
        <v>0</v>
      </c>
      <c r="V48" s="52">
        <f t="shared" si="48"/>
        <v>0</v>
      </c>
      <c r="W48" s="52">
        <f>'BİLGİ GİRİŞİ'!H43</f>
        <v>0</v>
      </c>
      <c r="X48" s="52">
        <f t="shared" si="49"/>
        <v>0</v>
      </c>
      <c r="Y48" s="52">
        <f t="shared" si="50"/>
        <v>0</v>
      </c>
      <c r="Z48" s="52">
        <f t="shared" si="51"/>
        <v>0</v>
      </c>
      <c r="AA48" s="52">
        <f t="shared" si="52"/>
        <v>0</v>
      </c>
      <c r="AB48" s="193">
        <f t="shared" si="53"/>
        <v>0</v>
      </c>
      <c r="AC48" s="52">
        <f t="shared" si="54"/>
        <v>0</v>
      </c>
    </row>
    <row r="49" spans="1:29" ht="14.25" hidden="1" customHeight="1" x14ac:dyDescent="0.2">
      <c r="A49" s="50">
        <f>'BİLGİ GİRİŞİ'!A44</f>
        <v>42</v>
      </c>
      <c r="B49" s="90">
        <f>'BİLGİ GİRİŞİ'!B44</f>
        <v>0</v>
      </c>
      <c r="C49" s="90">
        <f>'BİLGİ GİRİŞİ'!C44</f>
        <v>0</v>
      </c>
      <c r="D49" s="50">
        <f t="shared" si="42"/>
        <v>0</v>
      </c>
      <c r="E49" s="50"/>
      <c r="F49" s="50"/>
      <c r="G49" s="50"/>
      <c r="H49" s="50">
        <f>'BİLGİ GİRİŞİ'!G44</f>
        <v>0</v>
      </c>
      <c r="I49" s="51">
        <f t="shared" si="1"/>
        <v>32.962299999999999</v>
      </c>
      <c r="J49" s="192"/>
      <c r="K49" s="192"/>
      <c r="L49" s="192"/>
      <c r="M49" s="192"/>
      <c r="N49" s="192"/>
      <c r="O49" s="52">
        <f t="shared" si="43"/>
        <v>0</v>
      </c>
      <c r="P49" s="52">
        <f t="shared" si="44"/>
        <v>0</v>
      </c>
      <c r="Q49" s="52">
        <f t="shared" si="45"/>
        <v>0</v>
      </c>
      <c r="R49" s="52">
        <f>ASG.GEÇ.İND.BORD.!E47</f>
        <v>0</v>
      </c>
      <c r="S49" s="52">
        <f>'BİLGİ GİRİŞİ'!U44</f>
        <v>0</v>
      </c>
      <c r="T49" s="52">
        <f t="shared" si="46"/>
        <v>0</v>
      </c>
      <c r="U49" s="52">
        <f t="shared" si="47"/>
        <v>0</v>
      </c>
      <c r="V49" s="52">
        <f t="shared" si="48"/>
        <v>0</v>
      </c>
      <c r="W49" s="52">
        <f>'BİLGİ GİRİŞİ'!H44</f>
        <v>0</v>
      </c>
      <c r="X49" s="52">
        <f t="shared" si="49"/>
        <v>0</v>
      </c>
      <c r="Y49" s="52">
        <f t="shared" si="50"/>
        <v>0</v>
      </c>
      <c r="Z49" s="52">
        <f t="shared" si="51"/>
        <v>0</v>
      </c>
      <c r="AA49" s="52">
        <f t="shared" si="52"/>
        <v>0</v>
      </c>
      <c r="AB49" s="193">
        <f t="shared" si="53"/>
        <v>0</v>
      </c>
      <c r="AC49" s="52">
        <f t="shared" si="54"/>
        <v>0</v>
      </c>
    </row>
    <row r="50" spans="1:29" ht="14.25" hidden="1" customHeight="1" x14ac:dyDescent="0.2">
      <c r="A50" s="50">
        <f>'BİLGİ GİRİŞİ'!A45</f>
        <v>43</v>
      </c>
      <c r="B50" s="90">
        <f>'BİLGİ GİRİŞİ'!B45</f>
        <v>0</v>
      </c>
      <c r="C50" s="90">
        <f>'BİLGİ GİRİŞİ'!C45</f>
        <v>0</v>
      </c>
      <c r="D50" s="50">
        <f t="shared" si="42"/>
        <v>0</v>
      </c>
      <c r="E50" s="50"/>
      <c r="F50" s="50"/>
      <c r="G50" s="50"/>
      <c r="H50" s="50">
        <f>'BİLGİ GİRİŞİ'!G45</f>
        <v>0</v>
      </c>
      <c r="I50" s="51">
        <f t="shared" si="1"/>
        <v>32.962299999999999</v>
      </c>
      <c r="J50" s="192"/>
      <c r="K50" s="192"/>
      <c r="L50" s="192"/>
      <c r="M50" s="192"/>
      <c r="N50" s="192"/>
      <c r="O50" s="52">
        <f t="shared" si="43"/>
        <v>0</v>
      </c>
      <c r="P50" s="52">
        <f t="shared" si="44"/>
        <v>0</v>
      </c>
      <c r="Q50" s="52">
        <f t="shared" si="45"/>
        <v>0</v>
      </c>
      <c r="R50" s="52">
        <f>ASG.GEÇ.İND.BORD.!E48</f>
        <v>0</v>
      </c>
      <c r="S50" s="52">
        <f>'BİLGİ GİRİŞİ'!U45</f>
        <v>0</v>
      </c>
      <c r="T50" s="52">
        <f t="shared" si="46"/>
        <v>0</v>
      </c>
      <c r="U50" s="52">
        <f t="shared" si="47"/>
        <v>0</v>
      </c>
      <c r="V50" s="52">
        <f t="shared" si="48"/>
        <v>0</v>
      </c>
      <c r="W50" s="52">
        <f>'BİLGİ GİRİŞİ'!H45</f>
        <v>0</v>
      </c>
      <c r="X50" s="52">
        <f t="shared" si="49"/>
        <v>0</v>
      </c>
      <c r="Y50" s="52">
        <f t="shared" si="50"/>
        <v>0</v>
      </c>
      <c r="Z50" s="52">
        <f t="shared" si="51"/>
        <v>0</v>
      </c>
      <c r="AA50" s="52">
        <f t="shared" si="52"/>
        <v>0</v>
      </c>
      <c r="AB50" s="193">
        <f t="shared" si="53"/>
        <v>0</v>
      </c>
      <c r="AC50" s="52">
        <f t="shared" si="54"/>
        <v>0</v>
      </c>
    </row>
    <row r="51" spans="1:29" ht="14.25" hidden="1" customHeight="1" x14ac:dyDescent="0.2">
      <c r="A51" s="50">
        <f>'BİLGİ GİRİŞİ'!A46</f>
        <v>44</v>
      </c>
      <c r="B51" s="90">
        <f>'BİLGİ GİRİŞİ'!B46</f>
        <v>0</v>
      </c>
      <c r="C51" s="90">
        <f>'BİLGİ GİRİŞİ'!C46</f>
        <v>0</v>
      </c>
      <c r="D51" s="50">
        <f t="shared" si="42"/>
        <v>0</v>
      </c>
      <c r="E51" s="50"/>
      <c r="F51" s="50"/>
      <c r="G51" s="50"/>
      <c r="H51" s="50">
        <f>'BİLGİ GİRİŞİ'!G46</f>
        <v>0</v>
      </c>
      <c r="I51" s="51">
        <f t="shared" si="1"/>
        <v>32.962299999999999</v>
      </c>
      <c r="J51" s="192"/>
      <c r="K51" s="192"/>
      <c r="L51" s="192"/>
      <c r="M51" s="192"/>
      <c r="N51" s="192"/>
      <c r="O51" s="52">
        <f t="shared" si="43"/>
        <v>0</v>
      </c>
      <c r="P51" s="52">
        <f t="shared" si="44"/>
        <v>0</v>
      </c>
      <c r="Q51" s="52">
        <f t="shared" si="45"/>
        <v>0</v>
      </c>
      <c r="R51" s="52">
        <f>ASG.GEÇ.İND.BORD.!E49</f>
        <v>0</v>
      </c>
      <c r="S51" s="52">
        <f>'BİLGİ GİRİŞİ'!U46</f>
        <v>0</v>
      </c>
      <c r="T51" s="52">
        <f t="shared" si="46"/>
        <v>0</v>
      </c>
      <c r="U51" s="52">
        <f t="shared" si="47"/>
        <v>0</v>
      </c>
      <c r="V51" s="52">
        <f t="shared" si="48"/>
        <v>0</v>
      </c>
      <c r="W51" s="52">
        <f>'BİLGİ GİRİŞİ'!H46</f>
        <v>0</v>
      </c>
      <c r="X51" s="52">
        <f t="shared" si="49"/>
        <v>0</v>
      </c>
      <c r="Y51" s="52">
        <f t="shared" si="50"/>
        <v>0</v>
      </c>
      <c r="Z51" s="52">
        <f t="shared" si="51"/>
        <v>0</v>
      </c>
      <c r="AA51" s="52">
        <f t="shared" si="52"/>
        <v>0</v>
      </c>
      <c r="AB51" s="193">
        <f t="shared" si="53"/>
        <v>0</v>
      </c>
      <c r="AC51" s="52">
        <f t="shared" si="54"/>
        <v>0</v>
      </c>
    </row>
    <row r="52" spans="1:29" ht="14.25" hidden="1" customHeight="1" x14ac:dyDescent="0.2">
      <c r="A52" s="50">
        <f>'BİLGİ GİRİŞİ'!A47</f>
        <v>45</v>
      </c>
      <c r="B52" s="90">
        <f>'BİLGİ GİRİŞİ'!B47</f>
        <v>0</v>
      </c>
      <c r="C52" s="90">
        <f>'BİLGİ GİRİŞİ'!C47</f>
        <v>0</v>
      </c>
      <c r="D52" s="50">
        <f t="shared" si="42"/>
        <v>0</v>
      </c>
      <c r="E52" s="50"/>
      <c r="F52" s="50"/>
      <c r="G52" s="50"/>
      <c r="H52" s="50">
        <f>'BİLGİ GİRİŞİ'!G47</f>
        <v>0</v>
      </c>
      <c r="I52" s="51">
        <f t="shared" si="1"/>
        <v>32.962299999999999</v>
      </c>
      <c r="J52" s="192"/>
      <c r="K52" s="192"/>
      <c r="L52" s="192"/>
      <c r="M52" s="192"/>
      <c r="N52" s="192"/>
      <c r="O52" s="52">
        <f t="shared" si="43"/>
        <v>0</v>
      </c>
      <c r="P52" s="52">
        <f t="shared" si="44"/>
        <v>0</v>
      </c>
      <c r="Q52" s="52">
        <f t="shared" si="45"/>
        <v>0</v>
      </c>
      <c r="R52" s="52">
        <f>ASG.GEÇ.İND.BORD.!E50</f>
        <v>0</v>
      </c>
      <c r="S52" s="52">
        <f>'BİLGİ GİRİŞİ'!U47</f>
        <v>0</v>
      </c>
      <c r="T52" s="52">
        <f t="shared" si="46"/>
        <v>0</v>
      </c>
      <c r="U52" s="52">
        <f t="shared" si="47"/>
        <v>0</v>
      </c>
      <c r="V52" s="52">
        <f t="shared" si="48"/>
        <v>0</v>
      </c>
      <c r="W52" s="52">
        <f>'BİLGİ GİRİŞİ'!H47</f>
        <v>0</v>
      </c>
      <c r="X52" s="52">
        <f t="shared" si="49"/>
        <v>0</v>
      </c>
      <c r="Y52" s="52">
        <f t="shared" si="50"/>
        <v>0</v>
      </c>
      <c r="Z52" s="52">
        <f t="shared" si="51"/>
        <v>0</v>
      </c>
      <c r="AA52" s="52">
        <f t="shared" si="52"/>
        <v>0</v>
      </c>
      <c r="AB52" s="193">
        <f t="shared" si="53"/>
        <v>0</v>
      </c>
      <c r="AC52" s="52">
        <f t="shared" si="54"/>
        <v>0</v>
      </c>
    </row>
    <row r="53" spans="1:29" ht="14.25" hidden="1" customHeight="1" x14ac:dyDescent="0.2">
      <c r="A53" s="50">
        <f>'BİLGİ GİRİŞİ'!A48</f>
        <v>46</v>
      </c>
      <c r="B53" s="90">
        <f>'BİLGİ GİRİŞİ'!B48</f>
        <v>0</v>
      </c>
      <c r="C53" s="90">
        <f>'BİLGİ GİRİŞİ'!C48</f>
        <v>0</v>
      </c>
      <c r="D53" s="50">
        <f t="shared" si="42"/>
        <v>0</v>
      </c>
      <c r="E53" s="50"/>
      <c r="F53" s="50"/>
      <c r="G53" s="50"/>
      <c r="H53" s="50">
        <f>'BİLGİ GİRİŞİ'!G48</f>
        <v>0</v>
      </c>
      <c r="I53" s="51">
        <f t="shared" si="1"/>
        <v>32.962299999999999</v>
      </c>
      <c r="J53" s="192"/>
      <c r="K53" s="192"/>
      <c r="L53" s="192"/>
      <c r="M53" s="192"/>
      <c r="N53" s="192"/>
      <c r="O53" s="52">
        <f t="shared" si="43"/>
        <v>0</v>
      </c>
      <c r="P53" s="52">
        <f t="shared" si="44"/>
        <v>0</v>
      </c>
      <c r="Q53" s="52">
        <f t="shared" si="45"/>
        <v>0</v>
      </c>
      <c r="R53" s="52">
        <f>ASG.GEÇ.İND.BORD.!E51</f>
        <v>0</v>
      </c>
      <c r="S53" s="52">
        <f>'BİLGİ GİRİŞİ'!U48</f>
        <v>0</v>
      </c>
      <c r="T53" s="52">
        <f t="shared" si="46"/>
        <v>0</v>
      </c>
      <c r="U53" s="52">
        <f t="shared" si="47"/>
        <v>0</v>
      </c>
      <c r="V53" s="52">
        <f t="shared" si="48"/>
        <v>0</v>
      </c>
      <c r="W53" s="52">
        <f>'BİLGİ GİRİŞİ'!H48</f>
        <v>0</v>
      </c>
      <c r="X53" s="52">
        <f t="shared" si="49"/>
        <v>0</v>
      </c>
      <c r="Y53" s="52">
        <f t="shared" si="50"/>
        <v>0</v>
      </c>
      <c r="Z53" s="52">
        <f t="shared" si="51"/>
        <v>0</v>
      </c>
      <c r="AA53" s="52">
        <f t="shared" si="52"/>
        <v>0</v>
      </c>
      <c r="AB53" s="193">
        <f t="shared" si="53"/>
        <v>0</v>
      </c>
      <c r="AC53" s="52">
        <f t="shared" si="54"/>
        <v>0</v>
      </c>
    </row>
    <row r="54" spans="1:29" ht="14.25" hidden="1" customHeight="1" x14ac:dyDescent="0.2">
      <c r="A54" s="50">
        <f>'BİLGİ GİRİŞİ'!A49</f>
        <v>47</v>
      </c>
      <c r="B54" s="90">
        <f>'BİLGİ GİRİŞİ'!B49</f>
        <v>0</v>
      </c>
      <c r="C54" s="90">
        <f>'BİLGİ GİRİŞİ'!C49</f>
        <v>0</v>
      </c>
      <c r="D54" s="50">
        <f t="shared" si="42"/>
        <v>0</v>
      </c>
      <c r="E54" s="50"/>
      <c r="F54" s="50"/>
      <c r="G54" s="50"/>
      <c r="H54" s="50">
        <f>'BİLGİ GİRİŞİ'!G49</f>
        <v>0</v>
      </c>
      <c r="I54" s="51">
        <f t="shared" si="1"/>
        <v>32.962299999999999</v>
      </c>
      <c r="J54" s="192"/>
      <c r="K54" s="192"/>
      <c r="L54" s="192"/>
      <c r="M54" s="192"/>
      <c r="N54" s="192"/>
      <c r="O54" s="52">
        <f t="shared" si="43"/>
        <v>0</v>
      </c>
      <c r="P54" s="52">
        <f t="shared" si="44"/>
        <v>0</v>
      </c>
      <c r="Q54" s="52">
        <f t="shared" si="45"/>
        <v>0</v>
      </c>
      <c r="R54" s="52">
        <f>ASG.GEÇ.İND.BORD.!E52</f>
        <v>0</v>
      </c>
      <c r="S54" s="52">
        <f>'BİLGİ GİRİŞİ'!U49</f>
        <v>0</v>
      </c>
      <c r="T54" s="52">
        <f t="shared" si="46"/>
        <v>0</v>
      </c>
      <c r="U54" s="52">
        <f t="shared" si="47"/>
        <v>0</v>
      </c>
      <c r="V54" s="52">
        <f t="shared" si="48"/>
        <v>0</v>
      </c>
      <c r="W54" s="52">
        <f>'BİLGİ GİRİŞİ'!H49</f>
        <v>0</v>
      </c>
      <c r="X54" s="52">
        <f t="shared" si="49"/>
        <v>0</v>
      </c>
      <c r="Y54" s="52">
        <f t="shared" si="50"/>
        <v>0</v>
      </c>
      <c r="Z54" s="52">
        <f t="shared" si="51"/>
        <v>0</v>
      </c>
      <c r="AA54" s="52">
        <f t="shared" si="52"/>
        <v>0</v>
      </c>
      <c r="AB54" s="193">
        <f t="shared" si="53"/>
        <v>0</v>
      </c>
      <c r="AC54" s="52">
        <f t="shared" si="54"/>
        <v>0</v>
      </c>
    </row>
    <row r="55" spans="1:29" ht="14.25" hidden="1" customHeight="1" x14ac:dyDescent="0.2">
      <c r="A55" s="50">
        <f>'BİLGİ GİRİŞİ'!A50</f>
        <v>48</v>
      </c>
      <c r="B55" s="90">
        <f>'BİLGİ GİRİŞİ'!B50</f>
        <v>0</v>
      </c>
      <c r="C55" s="90">
        <f>'BİLGİ GİRİŞİ'!C50</f>
        <v>0</v>
      </c>
      <c r="D55" s="50">
        <f t="shared" si="42"/>
        <v>0</v>
      </c>
      <c r="E55" s="50"/>
      <c r="F55" s="50"/>
      <c r="G55" s="50"/>
      <c r="H55" s="50">
        <f>'BİLGİ GİRİŞİ'!G50</f>
        <v>0</v>
      </c>
      <c r="I55" s="51">
        <f t="shared" si="1"/>
        <v>32.962299999999999</v>
      </c>
      <c r="J55" s="192"/>
      <c r="K55" s="192"/>
      <c r="L55" s="192"/>
      <c r="M55" s="192"/>
      <c r="N55" s="192"/>
      <c r="O55" s="52">
        <f t="shared" si="43"/>
        <v>0</v>
      </c>
      <c r="P55" s="52">
        <f t="shared" si="44"/>
        <v>0</v>
      </c>
      <c r="Q55" s="52">
        <f t="shared" si="45"/>
        <v>0</v>
      </c>
      <c r="R55" s="52">
        <f>ASG.GEÇ.İND.BORD.!E53</f>
        <v>0</v>
      </c>
      <c r="S55" s="52">
        <f>'BİLGİ GİRİŞİ'!U50</f>
        <v>0</v>
      </c>
      <c r="T55" s="52">
        <f t="shared" si="46"/>
        <v>0</v>
      </c>
      <c r="U55" s="52">
        <f t="shared" si="47"/>
        <v>0</v>
      </c>
      <c r="V55" s="52">
        <f t="shared" si="48"/>
        <v>0</v>
      </c>
      <c r="W55" s="52">
        <f>'BİLGİ GİRİŞİ'!H50</f>
        <v>0</v>
      </c>
      <c r="X55" s="52">
        <f t="shared" si="49"/>
        <v>0</v>
      </c>
      <c r="Y55" s="52">
        <f t="shared" si="50"/>
        <v>0</v>
      </c>
      <c r="Z55" s="52">
        <f t="shared" si="51"/>
        <v>0</v>
      </c>
      <c r="AA55" s="52">
        <f t="shared" si="52"/>
        <v>0</v>
      </c>
      <c r="AB55" s="193">
        <f t="shared" si="53"/>
        <v>0</v>
      </c>
      <c r="AC55" s="52">
        <f t="shared" si="54"/>
        <v>0</v>
      </c>
    </row>
    <row r="56" spans="1:29" ht="14.25" hidden="1" customHeight="1" x14ac:dyDescent="0.2">
      <c r="A56" s="50"/>
      <c r="B56" s="90"/>
      <c r="C56" s="90"/>
      <c r="D56" s="50"/>
      <c r="E56" s="50"/>
      <c r="F56" s="50"/>
      <c r="G56" s="50"/>
      <c r="H56" s="50"/>
      <c r="I56" s="51"/>
      <c r="J56" s="192"/>
      <c r="K56" s="192"/>
      <c r="L56" s="192"/>
      <c r="M56" s="192"/>
      <c r="N56" s="192"/>
      <c r="O56" s="52"/>
      <c r="P56" s="52"/>
      <c r="Q56" s="52"/>
      <c r="R56" s="52"/>
      <c r="S56" s="52"/>
      <c r="T56" s="52"/>
      <c r="U56" s="52"/>
      <c r="V56" s="52"/>
      <c r="W56" s="52"/>
      <c r="X56" s="52"/>
      <c r="Y56" s="52"/>
      <c r="Z56" s="52"/>
      <c r="AA56" s="52"/>
      <c r="AB56" s="193"/>
      <c r="AC56" s="52"/>
    </row>
    <row r="57" spans="1:29" ht="14.25" hidden="1" customHeight="1" x14ac:dyDescent="0.2">
      <c r="A57" s="50"/>
      <c r="B57" s="90"/>
      <c r="C57" s="90"/>
      <c r="D57" s="50"/>
      <c r="E57" s="50"/>
      <c r="F57" s="50"/>
      <c r="G57" s="50"/>
      <c r="H57" s="50"/>
      <c r="I57" s="51"/>
      <c r="J57" s="192"/>
      <c r="K57" s="192"/>
      <c r="L57" s="192"/>
      <c r="M57" s="192"/>
      <c r="N57" s="192"/>
      <c r="O57" s="52"/>
      <c r="P57" s="52"/>
      <c r="Q57" s="52"/>
      <c r="R57" s="52"/>
      <c r="S57" s="52"/>
      <c r="T57" s="52"/>
      <c r="U57" s="52"/>
      <c r="V57" s="52"/>
      <c r="W57" s="52"/>
      <c r="X57" s="52"/>
      <c r="Y57" s="52"/>
      <c r="Z57" s="52"/>
      <c r="AA57" s="52"/>
      <c r="AB57" s="193"/>
      <c r="AC57" s="52"/>
    </row>
    <row r="58" spans="1:29" ht="14.25" customHeight="1" x14ac:dyDescent="0.2">
      <c r="A58" s="302" t="s">
        <v>313</v>
      </c>
      <c r="B58" s="303"/>
      <c r="C58" s="304"/>
      <c r="D58" s="53">
        <f>SUM(D8:D57)</f>
        <v>76</v>
      </c>
      <c r="E58" s="53"/>
      <c r="F58" s="311" t="s">
        <v>312</v>
      </c>
      <c r="G58" s="312"/>
      <c r="H58" s="53">
        <f>SUM(H8:H57)</f>
        <v>550</v>
      </c>
      <c r="I58" s="127"/>
      <c r="J58" s="127"/>
      <c r="K58" s="127"/>
      <c r="L58" s="127"/>
      <c r="M58" s="127"/>
      <c r="N58" s="127"/>
      <c r="O58" s="54">
        <f>SUM(O8:O57)</f>
        <v>19291.169999999998</v>
      </c>
      <c r="P58" s="54">
        <f>SUM(P8:P57)</f>
        <v>3954.75</v>
      </c>
      <c r="Q58" s="54">
        <f>SUM(Q8:Q57)</f>
        <v>23245.919999999998</v>
      </c>
      <c r="R58" s="54">
        <f>SUM(R8:R57)</f>
        <v>1876.5</v>
      </c>
      <c r="S58" s="126"/>
      <c r="T58" s="126"/>
      <c r="U58" s="54">
        <f t="shared" ref="U58:AC58" si="55">SUM(U8:U57)</f>
        <v>0</v>
      </c>
      <c r="V58" s="54">
        <f t="shared" si="55"/>
        <v>0</v>
      </c>
      <c r="W58" s="54">
        <f t="shared" si="55"/>
        <v>0</v>
      </c>
      <c r="X58" s="54">
        <f t="shared" si="55"/>
        <v>3954.75</v>
      </c>
      <c r="Y58" s="54">
        <f t="shared" si="55"/>
        <v>2700.77</v>
      </c>
      <c r="Z58" s="174">
        <f t="shared" si="55"/>
        <v>6655.52</v>
      </c>
      <c r="AA58" s="54">
        <f t="shared" si="55"/>
        <v>6655.52</v>
      </c>
      <c r="AB58" s="54">
        <f t="shared" si="55"/>
        <v>0</v>
      </c>
      <c r="AC58" s="54">
        <f t="shared" si="55"/>
        <v>16590.400000000001</v>
      </c>
    </row>
    <row r="63" spans="1:29" x14ac:dyDescent="0.2">
      <c r="B63" s="278" t="s">
        <v>308</v>
      </c>
      <c r="C63" s="278"/>
      <c r="X63" s="277"/>
      <c r="Y63" s="277"/>
      <c r="Z63" s="277"/>
    </row>
    <row r="64" spans="1:29" x14ac:dyDescent="0.2">
      <c r="B64" s="279" t="s">
        <v>307</v>
      </c>
      <c r="C64" s="279"/>
      <c r="D64" s="279"/>
      <c r="R64" s="277" t="s">
        <v>310</v>
      </c>
      <c r="S64" s="277"/>
      <c r="T64" s="277"/>
      <c r="U64" s="277"/>
      <c r="V64" s="277"/>
      <c r="X64" s="277"/>
      <c r="Y64" s="277"/>
      <c r="Z64" s="277"/>
    </row>
    <row r="65" spans="2:22" x14ac:dyDescent="0.2">
      <c r="B65" s="279" t="s">
        <v>306</v>
      </c>
      <c r="C65" s="279"/>
      <c r="D65" s="279"/>
      <c r="R65" s="277" t="s">
        <v>264</v>
      </c>
      <c r="S65" s="277"/>
      <c r="T65" s="277"/>
      <c r="U65" s="277"/>
      <c r="V65" s="277"/>
    </row>
    <row r="66" spans="2:22" x14ac:dyDescent="0.2">
      <c r="B66" s="277" t="s">
        <v>309</v>
      </c>
      <c r="C66" s="277"/>
      <c r="D66" s="277"/>
      <c r="R66" s="277" t="s">
        <v>311</v>
      </c>
      <c r="S66" s="277"/>
      <c r="T66" s="277"/>
      <c r="U66" s="277"/>
      <c r="V66" s="277"/>
    </row>
  </sheetData>
  <mergeCells count="53">
    <mergeCell ref="A1:C1"/>
    <mergeCell ref="D4:D7"/>
    <mergeCell ref="H4:H7"/>
    <mergeCell ref="Q4:Q7"/>
    <mergeCell ref="O4:O7"/>
    <mergeCell ref="P4:P7"/>
    <mergeCell ref="J4:J7"/>
    <mergeCell ref="K4:K7"/>
    <mergeCell ref="T4:T7"/>
    <mergeCell ref="A2:C2"/>
    <mergeCell ref="A3:C3"/>
    <mergeCell ref="C4:C7"/>
    <mergeCell ref="I4:I7"/>
    <mergeCell ref="L4:L7"/>
    <mergeCell ref="M4:M7"/>
    <mergeCell ref="N4:N7"/>
    <mergeCell ref="F4:F7"/>
    <mergeCell ref="G4:G7"/>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AA3:AC3"/>
    <mergeCell ref="Y1:Z2"/>
    <mergeCell ref="U1:X1"/>
    <mergeCell ref="AA1:AC2"/>
    <mergeCell ref="D1:H1"/>
    <mergeCell ref="V3:X3"/>
    <mergeCell ref="Y3:Z3"/>
    <mergeCell ref="J2:W2"/>
    <mergeCell ref="D2:H2"/>
    <mergeCell ref="D3:H3"/>
    <mergeCell ref="X63:Z63"/>
    <mergeCell ref="X64:Z64"/>
    <mergeCell ref="B66:D66"/>
    <mergeCell ref="R64:V64"/>
    <mergeCell ref="R65:V65"/>
    <mergeCell ref="R66:V66"/>
    <mergeCell ref="B63:C63"/>
    <mergeCell ref="B65:D65"/>
    <mergeCell ref="B64:D64"/>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69" t="s">
        <v>140</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row>
    <row r="2" spans="1:38" ht="13.5" customHeight="1" x14ac:dyDescent="0.2"/>
    <row r="3" spans="1:38" ht="12.75" customHeight="1" x14ac:dyDescent="0.2">
      <c r="A3" s="387" t="s">
        <v>141</v>
      </c>
      <c r="B3" s="388"/>
      <c r="C3" s="388"/>
      <c r="D3" s="389"/>
      <c r="E3" s="379"/>
      <c r="F3" s="379"/>
      <c r="G3" s="379"/>
      <c r="H3" s="379"/>
      <c r="I3" s="379"/>
      <c r="J3" s="379"/>
      <c r="K3" s="379" t="s">
        <v>189</v>
      </c>
      <c r="L3" s="379"/>
      <c r="M3" s="379"/>
      <c r="N3" s="379"/>
      <c r="O3" s="380" t="s">
        <v>1</v>
      </c>
      <c r="P3" s="380"/>
      <c r="Q3" s="380"/>
      <c r="R3" s="399"/>
      <c r="S3" s="399"/>
      <c r="T3" s="399"/>
      <c r="U3" s="399"/>
      <c r="V3" s="370" t="s">
        <v>30</v>
      </c>
      <c r="W3" s="371"/>
      <c r="X3" s="372"/>
      <c r="Y3" s="48"/>
      <c r="Z3" s="49"/>
      <c r="AA3" s="49"/>
      <c r="AB3" s="49"/>
      <c r="AC3" s="49"/>
      <c r="AD3" s="49"/>
      <c r="AE3" s="468" t="s">
        <v>237</v>
      </c>
      <c r="AF3" s="468"/>
      <c r="AG3" s="468"/>
      <c r="AH3" s="468"/>
      <c r="AI3" s="468"/>
      <c r="AJ3" s="468"/>
      <c r="AK3" s="468"/>
      <c r="AL3" s="469"/>
    </row>
    <row r="4" spans="1:38" ht="12.75" customHeight="1" x14ac:dyDescent="0.2">
      <c r="A4" s="387" t="s">
        <v>142</v>
      </c>
      <c r="B4" s="388"/>
      <c r="C4" s="388"/>
      <c r="D4" s="389"/>
      <c r="E4" s="379"/>
      <c r="F4" s="379"/>
      <c r="G4" s="379"/>
      <c r="H4" s="379"/>
      <c r="I4" s="379"/>
      <c r="J4" s="379"/>
      <c r="K4" s="379"/>
      <c r="L4" s="379"/>
      <c r="M4" s="379"/>
      <c r="N4" s="379"/>
      <c r="O4" s="380" t="s">
        <v>190</v>
      </c>
      <c r="P4" s="380"/>
      <c r="Q4" s="380"/>
      <c r="R4" s="399"/>
      <c r="S4" s="399"/>
      <c r="T4" s="399"/>
      <c r="U4" s="399"/>
      <c r="V4" s="373"/>
      <c r="W4" s="374"/>
      <c r="X4" s="375"/>
      <c r="Y4" s="470" t="s">
        <v>31</v>
      </c>
      <c r="Z4" s="470"/>
      <c r="AA4" s="470"/>
      <c r="AB4" s="470"/>
      <c r="AC4" s="470"/>
      <c r="AD4" s="470"/>
      <c r="AE4" s="384"/>
      <c r="AF4" s="385"/>
      <c r="AG4" s="385"/>
      <c r="AH4" s="385"/>
      <c r="AI4" s="385"/>
      <c r="AJ4" s="385"/>
      <c r="AK4" s="385"/>
      <c r="AL4" s="386"/>
    </row>
    <row r="5" spans="1:38" ht="12.75" customHeight="1" x14ac:dyDescent="0.2">
      <c r="A5" s="390" t="s">
        <v>32</v>
      </c>
      <c r="B5" s="391"/>
      <c r="C5" s="391"/>
      <c r="D5" s="392"/>
      <c r="E5" s="7">
        <v>1</v>
      </c>
      <c r="F5" s="7">
        <v>2</v>
      </c>
      <c r="G5" s="7">
        <v>3</v>
      </c>
      <c r="H5" s="7">
        <v>4</v>
      </c>
      <c r="I5" s="379">
        <v>5</v>
      </c>
      <c r="J5" s="379"/>
      <c r="K5" s="379" t="s">
        <v>33</v>
      </c>
      <c r="L5" s="379"/>
      <c r="M5" s="379"/>
      <c r="N5" s="379"/>
      <c r="O5" s="380" t="s">
        <v>1</v>
      </c>
      <c r="P5" s="380"/>
      <c r="Q5" s="380"/>
      <c r="R5" s="399"/>
      <c r="S5" s="399"/>
      <c r="T5" s="399"/>
      <c r="U5" s="399"/>
      <c r="V5" s="373"/>
      <c r="W5" s="374"/>
      <c r="X5" s="375"/>
      <c r="Y5" s="381" t="s">
        <v>34</v>
      </c>
      <c r="Z5" s="382"/>
      <c r="AA5" s="382"/>
      <c r="AB5" s="382"/>
      <c r="AC5" s="382"/>
      <c r="AD5" s="383"/>
      <c r="AE5" s="384"/>
      <c r="AF5" s="385"/>
      <c r="AG5" s="385"/>
      <c r="AH5" s="385"/>
      <c r="AI5" s="385"/>
      <c r="AJ5" s="385"/>
      <c r="AK5" s="385"/>
      <c r="AL5" s="386"/>
    </row>
    <row r="6" spans="1:38" x14ac:dyDescent="0.2">
      <c r="A6" s="393"/>
      <c r="B6" s="394"/>
      <c r="C6" s="394"/>
      <c r="D6" s="395"/>
      <c r="E6" s="7">
        <v>13</v>
      </c>
      <c r="F6" s="7">
        <v>1</v>
      </c>
      <c r="G6" s="7">
        <v>31</v>
      </c>
      <c r="H6" s="7">
        <v>62</v>
      </c>
      <c r="I6" s="379">
        <v>285</v>
      </c>
      <c r="J6" s="379"/>
      <c r="K6" s="379"/>
      <c r="L6" s="379"/>
      <c r="M6" s="379"/>
      <c r="N6" s="379"/>
      <c r="O6" s="380" t="s">
        <v>190</v>
      </c>
      <c r="P6" s="380"/>
      <c r="Q6" s="380"/>
      <c r="R6" s="399"/>
      <c r="S6" s="399"/>
      <c r="T6" s="399"/>
      <c r="U6" s="399"/>
      <c r="V6" s="373"/>
      <c r="W6" s="374"/>
      <c r="X6" s="375"/>
      <c r="Y6" s="381" t="s">
        <v>35</v>
      </c>
      <c r="Z6" s="382"/>
      <c r="AA6" s="382"/>
      <c r="AB6" s="382"/>
      <c r="AC6" s="382"/>
      <c r="AD6" s="383"/>
      <c r="AE6" s="396"/>
      <c r="AF6" s="397"/>
      <c r="AG6" s="397"/>
      <c r="AH6" s="397"/>
      <c r="AI6" s="397"/>
      <c r="AJ6" s="397"/>
      <c r="AK6" s="397"/>
      <c r="AL6" s="398"/>
    </row>
    <row r="7" spans="1:38" x14ac:dyDescent="0.2">
      <c r="A7" s="381" t="s">
        <v>36</v>
      </c>
      <c r="B7" s="382"/>
      <c r="C7" s="382"/>
      <c r="D7" s="383"/>
      <c r="E7" s="384" t="s">
        <v>163</v>
      </c>
      <c r="F7" s="385"/>
      <c r="G7" s="385"/>
      <c r="H7" s="385"/>
      <c r="I7" s="385"/>
      <c r="J7" s="385"/>
      <c r="K7" s="385"/>
      <c r="L7" s="385"/>
      <c r="M7" s="385"/>
      <c r="N7" s="385"/>
      <c r="O7" s="385"/>
      <c r="P7" s="385"/>
      <c r="Q7" s="385"/>
      <c r="R7" s="385"/>
      <c r="S7" s="385"/>
      <c r="T7" s="385"/>
      <c r="U7" s="385"/>
      <c r="V7" s="373"/>
      <c r="W7" s="374"/>
      <c r="X7" s="375"/>
      <c r="Y7" s="381" t="s">
        <v>37</v>
      </c>
      <c r="Z7" s="382"/>
      <c r="AA7" s="382"/>
      <c r="AB7" s="382"/>
      <c r="AC7" s="382"/>
      <c r="AD7" s="383"/>
      <c r="AE7" s="384"/>
      <c r="AF7" s="385"/>
      <c r="AG7" s="385"/>
      <c r="AH7" s="385"/>
      <c r="AI7" s="385"/>
      <c r="AJ7" s="385"/>
      <c r="AK7" s="385"/>
      <c r="AL7" s="386"/>
    </row>
    <row r="8" spans="1:38" x14ac:dyDescent="0.2">
      <c r="A8" s="381" t="s">
        <v>38</v>
      </c>
      <c r="B8" s="382"/>
      <c r="C8" s="382"/>
      <c r="D8" s="383"/>
      <c r="E8" s="144" t="s">
        <v>244</v>
      </c>
      <c r="F8" s="145"/>
      <c r="G8" s="145"/>
      <c r="H8" s="145"/>
      <c r="I8" s="145"/>
      <c r="J8" s="145"/>
      <c r="K8" s="145"/>
      <c r="L8" s="145"/>
      <c r="M8" s="145"/>
      <c r="N8" s="145"/>
      <c r="O8" s="145"/>
      <c r="P8" s="145"/>
      <c r="Q8" s="145"/>
      <c r="R8" s="145"/>
      <c r="S8" s="145"/>
      <c r="T8" s="145"/>
      <c r="U8" s="145"/>
      <c r="V8" s="376"/>
      <c r="W8" s="377"/>
      <c r="X8" s="378"/>
      <c r="Y8" s="381" t="s">
        <v>39</v>
      </c>
      <c r="Z8" s="382"/>
      <c r="AA8" s="382"/>
      <c r="AB8" s="382"/>
      <c r="AC8" s="382"/>
      <c r="AD8" s="383"/>
      <c r="AE8" s="384"/>
      <c r="AF8" s="385"/>
      <c r="AG8" s="385"/>
      <c r="AH8" s="385"/>
      <c r="AI8" s="385"/>
      <c r="AJ8" s="385"/>
      <c r="AK8" s="385"/>
      <c r="AL8" s="386"/>
    </row>
    <row r="9" spans="1:38" ht="13.5" customHeight="1" x14ac:dyDescent="0.2">
      <c r="A9" s="476" t="s">
        <v>0</v>
      </c>
      <c r="B9" s="477"/>
      <c r="C9" s="477"/>
      <c r="D9" s="478"/>
      <c r="E9" s="379" t="s">
        <v>40</v>
      </c>
      <c r="F9" s="379"/>
      <c r="G9" s="379"/>
      <c r="H9" s="379"/>
      <c r="I9" s="493" t="s">
        <v>41</v>
      </c>
      <c r="J9" s="493"/>
      <c r="K9" s="493"/>
      <c r="L9" s="493"/>
      <c r="M9" s="390" t="s">
        <v>42</v>
      </c>
      <c r="N9" s="392"/>
      <c r="O9" s="390" t="s">
        <v>143</v>
      </c>
      <c r="P9" s="391"/>
      <c r="Q9" s="391"/>
      <c r="R9" s="392"/>
      <c r="S9" s="424" t="s">
        <v>43</v>
      </c>
      <c r="T9" s="425"/>
      <c r="U9" s="425"/>
      <c r="V9" s="425"/>
      <c r="W9" s="425"/>
      <c r="X9" s="425"/>
      <c r="Y9" s="425"/>
      <c r="Z9" s="425"/>
      <c r="AA9" s="425"/>
      <c r="AB9" s="425"/>
      <c r="AC9" s="425"/>
      <c r="AD9" s="426"/>
      <c r="AE9" s="471" t="s">
        <v>44</v>
      </c>
      <c r="AF9" s="472"/>
      <c r="AG9" s="472"/>
      <c r="AH9" s="472"/>
      <c r="AI9" s="472"/>
      <c r="AJ9" s="472"/>
      <c r="AK9" s="472"/>
      <c r="AL9" s="473"/>
    </row>
    <row r="10" spans="1:38" ht="9.9499999999999993" customHeight="1" x14ac:dyDescent="0.2">
      <c r="A10" s="479"/>
      <c r="B10" s="480"/>
      <c r="C10" s="480"/>
      <c r="D10" s="481"/>
      <c r="E10" s="379"/>
      <c r="F10" s="379"/>
      <c r="G10" s="379"/>
      <c r="H10" s="379"/>
      <c r="I10" s="493"/>
      <c r="J10" s="493"/>
      <c r="K10" s="493"/>
      <c r="L10" s="493"/>
      <c r="M10" s="393"/>
      <c r="N10" s="395"/>
      <c r="O10" s="393"/>
      <c r="P10" s="394"/>
      <c r="Q10" s="394"/>
      <c r="R10" s="395"/>
      <c r="S10" s="379" t="s">
        <v>45</v>
      </c>
      <c r="T10" s="379"/>
      <c r="U10" s="379"/>
      <c r="V10" s="379"/>
      <c r="W10" s="379"/>
      <c r="X10" s="379"/>
      <c r="Y10" s="379" t="s">
        <v>46</v>
      </c>
      <c r="Z10" s="379"/>
      <c r="AA10" s="379"/>
      <c r="AB10" s="379"/>
      <c r="AC10" s="379"/>
      <c r="AD10" s="379"/>
      <c r="AE10" s="474"/>
      <c r="AF10" s="459"/>
      <c r="AG10" s="459"/>
      <c r="AH10" s="459"/>
      <c r="AI10" s="459"/>
      <c r="AJ10" s="459"/>
      <c r="AK10" s="459"/>
      <c r="AL10" s="475"/>
    </row>
    <row r="11" spans="1:38" ht="17.25" customHeight="1" x14ac:dyDescent="0.2">
      <c r="A11" s="482"/>
      <c r="B11" s="483"/>
      <c r="C11" s="483"/>
      <c r="D11" s="484"/>
      <c r="E11" s="7">
        <v>1</v>
      </c>
      <c r="F11" s="7">
        <v>2</v>
      </c>
      <c r="G11" s="7">
        <v>3</v>
      </c>
      <c r="H11" s="7">
        <v>4</v>
      </c>
      <c r="I11" s="7">
        <v>1</v>
      </c>
      <c r="J11" s="7">
        <v>2</v>
      </c>
      <c r="K11" s="7">
        <v>3</v>
      </c>
      <c r="L11" s="7">
        <v>4</v>
      </c>
      <c r="M11" s="424">
        <v>1</v>
      </c>
      <c r="N11" s="426"/>
      <c r="O11" s="7">
        <v>1</v>
      </c>
      <c r="P11" s="7">
        <v>2</v>
      </c>
      <c r="Q11" s="7">
        <v>3</v>
      </c>
      <c r="R11" s="7">
        <v>4</v>
      </c>
      <c r="S11" s="379"/>
      <c r="T11" s="379"/>
      <c r="U11" s="379"/>
      <c r="V11" s="379"/>
      <c r="W11" s="379"/>
      <c r="X11" s="379"/>
      <c r="Y11" s="379"/>
      <c r="Z11" s="379"/>
      <c r="AA11" s="379"/>
      <c r="AB11" s="379"/>
      <c r="AC11" s="379"/>
      <c r="AD11" s="379"/>
      <c r="AE11" s="350"/>
      <c r="AF11" s="351"/>
      <c r="AG11" s="351"/>
      <c r="AH11" s="351"/>
      <c r="AI11" s="351"/>
      <c r="AJ11" s="351"/>
      <c r="AK11" s="351"/>
      <c r="AL11" s="352"/>
    </row>
    <row r="12" spans="1:38" ht="12.75" customHeight="1" x14ac:dyDescent="0.2">
      <c r="A12" s="350">
        <v>630</v>
      </c>
      <c r="B12" s="351"/>
      <c r="C12" s="351"/>
      <c r="D12" s="352"/>
      <c r="E12" s="9">
        <v>13</v>
      </c>
      <c r="F12" s="9">
        <v>1</v>
      </c>
      <c r="G12" s="9">
        <v>31</v>
      </c>
      <c r="H12" s="9">
        <v>62</v>
      </c>
      <c r="I12" s="9">
        <v>9</v>
      </c>
      <c r="J12" s="9">
        <v>1</v>
      </c>
      <c r="K12" s="9">
        <v>2</v>
      </c>
      <c r="L12" s="9">
        <v>0</v>
      </c>
      <c r="M12" s="353">
        <v>1</v>
      </c>
      <c r="N12" s="353"/>
      <c r="O12" s="10" t="s">
        <v>156</v>
      </c>
      <c r="P12" s="10" t="s">
        <v>161</v>
      </c>
      <c r="Q12" s="10" t="s">
        <v>156</v>
      </c>
      <c r="R12" s="10" t="s">
        <v>208</v>
      </c>
      <c r="S12" s="324">
        <f>BORDRO!O58</f>
        <v>19291.169999999998</v>
      </c>
      <c r="T12" s="325"/>
      <c r="U12" s="325"/>
      <c r="V12" s="325"/>
      <c r="W12" s="325"/>
      <c r="X12" s="326"/>
      <c r="Y12" s="324"/>
      <c r="Z12" s="325"/>
      <c r="AA12" s="325"/>
      <c r="AB12" s="325"/>
      <c r="AC12" s="325"/>
      <c r="AD12" s="326"/>
      <c r="AE12" s="446" t="s">
        <v>209</v>
      </c>
      <c r="AF12" s="447"/>
      <c r="AG12" s="447"/>
      <c r="AH12" s="447"/>
      <c r="AI12" s="447"/>
      <c r="AJ12" s="447"/>
      <c r="AK12" s="447"/>
      <c r="AL12" s="448"/>
    </row>
    <row r="13" spans="1:38" ht="12.75" customHeight="1" x14ac:dyDescent="0.2">
      <c r="A13" s="350">
        <v>630</v>
      </c>
      <c r="B13" s="351"/>
      <c r="C13" s="351"/>
      <c r="D13" s="352"/>
      <c r="E13" s="9"/>
      <c r="F13" s="9"/>
      <c r="G13" s="9"/>
      <c r="H13" s="9"/>
      <c r="I13" s="9"/>
      <c r="J13" s="9"/>
      <c r="K13" s="9"/>
      <c r="L13" s="9"/>
      <c r="M13" s="353"/>
      <c r="N13" s="353"/>
      <c r="O13" s="10" t="s">
        <v>158</v>
      </c>
      <c r="P13" s="10" t="s">
        <v>161</v>
      </c>
      <c r="Q13" s="10" t="s">
        <v>202</v>
      </c>
      <c r="R13" s="10" t="s">
        <v>156</v>
      </c>
      <c r="S13" s="324">
        <f>BORDRO!P58</f>
        <v>3954.75</v>
      </c>
      <c r="T13" s="325"/>
      <c r="U13" s="325"/>
      <c r="V13" s="325"/>
      <c r="W13" s="325"/>
      <c r="X13" s="326"/>
      <c r="Y13" s="324"/>
      <c r="Z13" s="325"/>
      <c r="AA13" s="325"/>
      <c r="AB13" s="325"/>
      <c r="AC13" s="325"/>
      <c r="AD13" s="326"/>
      <c r="AE13" s="446" t="s">
        <v>160</v>
      </c>
      <c r="AF13" s="447"/>
      <c r="AG13" s="447"/>
      <c r="AH13" s="447"/>
      <c r="AI13" s="447"/>
      <c r="AJ13" s="447"/>
      <c r="AK13" s="447"/>
      <c r="AL13" s="448"/>
    </row>
    <row r="14" spans="1:38" ht="12.75" customHeight="1" x14ac:dyDescent="0.2">
      <c r="A14" s="350">
        <v>630</v>
      </c>
      <c r="B14" s="351"/>
      <c r="C14" s="351"/>
      <c r="D14" s="352"/>
      <c r="E14" s="9"/>
      <c r="F14" s="9"/>
      <c r="G14" s="9"/>
      <c r="H14" s="9"/>
      <c r="I14" s="9"/>
      <c r="J14" s="9"/>
      <c r="K14" s="9"/>
      <c r="L14" s="9"/>
      <c r="M14" s="353"/>
      <c r="N14" s="353"/>
      <c r="O14" s="10" t="s">
        <v>192</v>
      </c>
      <c r="P14" s="10" t="s">
        <v>156</v>
      </c>
      <c r="Q14" s="10" t="s">
        <v>156</v>
      </c>
      <c r="R14" s="10" t="s">
        <v>73</v>
      </c>
      <c r="S14" s="324">
        <f>BORDRO!AB58</f>
        <v>0</v>
      </c>
      <c r="T14" s="325"/>
      <c r="U14" s="325"/>
      <c r="V14" s="325"/>
      <c r="W14" s="325"/>
      <c r="X14" s="326"/>
      <c r="Y14" s="324"/>
      <c r="Z14" s="325"/>
      <c r="AA14" s="325"/>
      <c r="AB14" s="325"/>
      <c r="AC14" s="325"/>
      <c r="AD14" s="326"/>
      <c r="AE14" s="446" t="s">
        <v>193</v>
      </c>
      <c r="AF14" s="447"/>
      <c r="AG14" s="447"/>
      <c r="AH14" s="447"/>
      <c r="AI14" s="447"/>
      <c r="AJ14" s="447"/>
      <c r="AK14" s="447"/>
      <c r="AL14" s="448"/>
    </row>
    <row r="15" spans="1:38" ht="12.75" customHeight="1" x14ac:dyDescent="0.2">
      <c r="A15" s="350">
        <v>600</v>
      </c>
      <c r="B15" s="351"/>
      <c r="C15" s="351"/>
      <c r="D15" s="352"/>
      <c r="E15" s="9"/>
      <c r="F15" s="9"/>
      <c r="G15" s="9"/>
      <c r="H15" s="9"/>
      <c r="I15" s="9"/>
      <c r="J15" s="9"/>
      <c r="K15" s="9"/>
      <c r="L15" s="9"/>
      <c r="M15" s="353"/>
      <c r="N15" s="353"/>
      <c r="O15" s="10" t="s">
        <v>156</v>
      </c>
      <c r="P15" s="10" t="s">
        <v>156</v>
      </c>
      <c r="Q15" s="10" t="s">
        <v>156</v>
      </c>
      <c r="R15" s="10" t="s">
        <v>159</v>
      </c>
      <c r="S15" s="324"/>
      <c r="T15" s="325"/>
      <c r="U15" s="325"/>
      <c r="V15" s="325"/>
      <c r="W15" s="325"/>
      <c r="X15" s="326"/>
      <c r="Y15" s="324">
        <f>BORDRO!U58</f>
        <v>0</v>
      </c>
      <c r="Z15" s="325"/>
      <c r="AA15" s="325"/>
      <c r="AB15" s="325"/>
      <c r="AC15" s="325"/>
      <c r="AD15" s="326"/>
      <c r="AE15" s="446" t="s">
        <v>59</v>
      </c>
      <c r="AF15" s="447"/>
      <c r="AG15" s="447"/>
      <c r="AH15" s="447"/>
      <c r="AI15" s="447"/>
      <c r="AJ15" s="447"/>
      <c r="AK15" s="447"/>
      <c r="AL15" s="448"/>
    </row>
    <row r="16" spans="1:38" ht="12.75" customHeight="1" x14ac:dyDescent="0.2">
      <c r="A16" s="350">
        <v>600</v>
      </c>
      <c r="B16" s="351"/>
      <c r="C16" s="351"/>
      <c r="D16" s="352"/>
      <c r="E16" s="9"/>
      <c r="F16" s="9"/>
      <c r="G16" s="9"/>
      <c r="H16" s="9"/>
      <c r="I16" s="9"/>
      <c r="J16" s="9"/>
      <c r="K16" s="9"/>
      <c r="L16" s="9"/>
      <c r="M16" s="353"/>
      <c r="N16" s="353"/>
      <c r="O16" s="10" t="s">
        <v>156</v>
      </c>
      <c r="P16" s="10" t="s">
        <v>157</v>
      </c>
      <c r="Q16" s="10" t="s">
        <v>156</v>
      </c>
      <c r="R16" s="10" t="s">
        <v>156</v>
      </c>
      <c r="S16" s="324"/>
      <c r="T16" s="325"/>
      <c r="U16" s="325"/>
      <c r="V16" s="325"/>
      <c r="W16" s="325"/>
      <c r="X16" s="326"/>
      <c r="Y16" s="324">
        <f>BORDRO!V58</f>
        <v>0</v>
      </c>
      <c r="Z16" s="325"/>
      <c r="AA16" s="325"/>
      <c r="AB16" s="325"/>
      <c r="AC16" s="325"/>
      <c r="AD16" s="326"/>
      <c r="AE16" s="446" t="s">
        <v>60</v>
      </c>
      <c r="AF16" s="447"/>
      <c r="AG16" s="447"/>
      <c r="AH16" s="447"/>
      <c r="AI16" s="447"/>
      <c r="AJ16" s="447"/>
      <c r="AK16" s="447"/>
      <c r="AL16" s="448"/>
    </row>
    <row r="17" spans="1:42" ht="12.75" customHeight="1" x14ac:dyDescent="0.2">
      <c r="A17" s="350">
        <v>333</v>
      </c>
      <c r="B17" s="351"/>
      <c r="C17" s="351"/>
      <c r="D17" s="352"/>
      <c r="E17" s="112"/>
      <c r="F17" s="112"/>
      <c r="G17" s="112"/>
      <c r="H17" s="112"/>
      <c r="I17" s="112"/>
      <c r="J17" s="112"/>
      <c r="K17" s="112"/>
      <c r="L17" s="112"/>
      <c r="M17" s="353"/>
      <c r="N17" s="353"/>
      <c r="O17" s="10" t="s">
        <v>159</v>
      </c>
      <c r="P17" s="10" t="s">
        <v>156</v>
      </c>
      <c r="Q17" s="10"/>
      <c r="R17" s="10"/>
      <c r="S17" s="324"/>
      <c r="T17" s="325"/>
      <c r="U17" s="325"/>
      <c r="V17" s="325"/>
      <c r="W17" s="325"/>
      <c r="X17" s="326"/>
      <c r="Y17" s="324">
        <f>BORDRO!W58</f>
        <v>0</v>
      </c>
      <c r="Z17" s="325"/>
      <c r="AA17" s="325"/>
      <c r="AB17" s="325"/>
      <c r="AC17" s="325"/>
      <c r="AD17" s="326"/>
      <c r="AE17" s="446" t="s">
        <v>236</v>
      </c>
      <c r="AF17" s="447"/>
      <c r="AG17" s="447"/>
      <c r="AH17" s="447"/>
      <c r="AI17" s="447"/>
      <c r="AJ17" s="447"/>
      <c r="AK17" s="447"/>
      <c r="AL17" s="448"/>
    </row>
    <row r="18" spans="1:42" ht="12.75" customHeight="1" x14ac:dyDescent="0.2">
      <c r="A18" s="350">
        <v>361</v>
      </c>
      <c r="B18" s="351"/>
      <c r="C18" s="351"/>
      <c r="D18" s="352"/>
      <c r="E18" s="89"/>
      <c r="F18" s="89"/>
      <c r="G18" s="89"/>
      <c r="H18" s="89"/>
      <c r="I18" s="89"/>
      <c r="J18" s="89"/>
      <c r="K18" s="89"/>
      <c r="L18" s="89"/>
      <c r="M18" s="353"/>
      <c r="N18" s="353"/>
      <c r="O18" s="10" t="s">
        <v>204</v>
      </c>
      <c r="P18" s="10" t="s">
        <v>156</v>
      </c>
      <c r="Q18" s="10" t="s">
        <v>158</v>
      </c>
      <c r="R18" s="10" t="s">
        <v>156</v>
      </c>
      <c r="S18" s="324"/>
      <c r="T18" s="325"/>
      <c r="U18" s="325"/>
      <c r="V18" s="325"/>
      <c r="W18" s="325"/>
      <c r="X18" s="326"/>
      <c r="Y18" s="366">
        <f>ROUND(PRİMVEHİZBEL!X18*11/100,2)</f>
        <v>2122.0300000000002</v>
      </c>
      <c r="Z18" s="367"/>
      <c r="AA18" s="367"/>
      <c r="AB18" s="367"/>
      <c r="AC18" s="367"/>
      <c r="AD18" s="368"/>
      <c r="AE18" s="363" t="s">
        <v>221</v>
      </c>
      <c r="AF18" s="364"/>
      <c r="AG18" s="364"/>
      <c r="AH18" s="364"/>
      <c r="AI18" s="364"/>
      <c r="AJ18" s="364"/>
      <c r="AK18" s="364"/>
      <c r="AL18" s="365"/>
      <c r="AM18" s="485">
        <f>Y18+Y19</f>
        <v>3858.23</v>
      </c>
      <c r="AN18" s="486"/>
      <c r="AO18" s="486"/>
      <c r="AP18" s="486"/>
    </row>
    <row r="19" spans="1:42" ht="12.75" customHeight="1" x14ac:dyDescent="0.2">
      <c r="A19" s="350">
        <v>361</v>
      </c>
      <c r="B19" s="351"/>
      <c r="C19" s="351"/>
      <c r="D19" s="352"/>
      <c r="E19" s="89"/>
      <c r="F19" s="89"/>
      <c r="G19" s="89"/>
      <c r="H19" s="89"/>
      <c r="I19" s="89"/>
      <c r="J19" s="89"/>
      <c r="K19" s="89"/>
      <c r="L19" s="89"/>
      <c r="M19" s="353"/>
      <c r="N19" s="353"/>
      <c r="O19" s="10" t="s">
        <v>204</v>
      </c>
      <c r="P19" s="10" t="s">
        <v>156</v>
      </c>
      <c r="Q19" s="10" t="s">
        <v>156</v>
      </c>
      <c r="R19" s="10" t="s">
        <v>156</v>
      </c>
      <c r="S19" s="324"/>
      <c r="T19" s="325"/>
      <c r="U19" s="325"/>
      <c r="V19" s="325"/>
      <c r="W19" s="325"/>
      <c r="X19" s="326"/>
      <c r="Y19" s="366">
        <f>PRİMVEHİZBEL!AK19-'ÖDEME EMRİ'!Y18:AD18</f>
        <v>1736.1999999999998</v>
      </c>
      <c r="Z19" s="367"/>
      <c r="AA19" s="367"/>
      <c r="AB19" s="367"/>
      <c r="AC19" s="367"/>
      <c r="AD19" s="368"/>
      <c r="AE19" s="363" t="s">
        <v>222</v>
      </c>
      <c r="AF19" s="364"/>
      <c r="AG19" s="364"/>
      <c r="AH19" s="364"/>
      <c r="AI19" s="364"/>
      <c r="AJ19" s="364"/>
      <c r="AK19" s="364"/>
      <c r="AL19" s="365"/>
      <c r="AM19" s="487"/>
      <c r="AN19" s="486"/>
      <c r="AO19" s="486"/>
      <c r="AP19" s="486"/>
    </row>
    <row r="20" spans="1:42" ht="12.75" customHeight="1" x14ac:dyDescent="0.2">
      <c r="A20" s="350">
        <v>361</v>
      </c>
      <c r="B20" s="351"/>
      <c r="C20" s="351"/>
      <c r="D20" s="352"/>
      <c r="E20" s="89"/>
      <c r="F20" s="89"/>
      <c r="G20" s="89"/>
      <c r="H20" s="89"/>
      <c r="I20" s="89"/>
      <c r="J20" s="89"/>
      <c r="K20" s="89"/>
      <c r="L20" s="89"/>
      <c r="M20" s="353"/>
      <c r="N20" s="353"/>
      <c r="O20" s="10" t="s">
        <v>204</v>
      </c>
      <c r="P20" s="10" t="s">
        <v>156</v>
      </c>
      <c r="Q20" s="10" t="s">
        <v>158</v>
      </c>
      <c r="R20" s="10" t="s">
        <v>159</v>
      </c>
      <c r="S20" s="324"/>
      <c r="T20" s="325"/>
      <c r="U20" s="325"/>
      <c r="V20" s="325"/>
      <c r="W20" s="325"/>
      <c r="X20" s="326"/>
      <c r="Y20" s="465">
        <f>ROUND(PRİMVEHİZBEL!X18*7.5/100,2)</f>
        <v>1446.84</v>
      </c>
      <c r="Z20" s="466"/>
      <c r="AA20" s="466"/>
      <c r="AB20" s="466"/>
      <c r="AC20" s="466"/>
      <c r="AD20" s="467"/>
      <c r="AE20" s="347" t="s">
        <v>223</v>
      </c>
      <c r="AF20" s="348"/>
      <c r="AG20" s="348"/>
      <c r="AH20" s="348"/>
      <c r="AI20" s="348"/>
      <c r="AJ20" s="348"/>
      <c r="AK20" s="348"/>
      <c r="AL20" s="349"/>
      <c r="AM20" s="488">
        <f>Y20+Y21</f>
        <v>2411.4</v>
      </c>
      <c r="AN20" s="489"/>
      <c r="AO20" s="489"/>
      <c r="AP20" s="489"/>
    </row>
    <row r="21" spans="1:42" ht="12.75" customHeight="1" x14ac:dyDescent="0.2">
      <c r="A21" s="350">
        <v>361</v>
      </c>
      <c r="B21" s="351"/>
      <c r="C21" s="351"/>
      <c r="D21" s="352"/>
      <c r="E21" s="9"/>
      <c r="F21" s="9"/>
      <c r="G21" s="9"/>
      <c r="H21" s="9"/>
      <c r="I21" s="9"/>
      <c r="J21" s="9"/>
      <c r="K21" s="9"/>
      <c r="L21" s="9"/>
      <c r="M21" s="353"/>
      <c r="N21" s="353"/>
      <c r="O21" s="10" t="s">
        <v>204</v>
      </c>
      <c r="P21" s="10" t="s">
        <v>156</v>
      </c>
      <c r="Q21" s="10" t="s">
        <v>156</v>
      </c>
      <c r="R21" s="10" t="s">
        <v>158</v>
      </c>
      <c r="S21" s="324"/>
      <c r="T21" s="325"/>
      <c r="U21" s="325"/>
      <c r="V21" s="325"/>
      <c r="W21" s="325"/>
      <c r="X21" s="326"/>
      <c r="Y21" s="465">
        <f>PRİMVEHİZBEL!AK20-'ÖDEME EMRİ'!Y20:AD20</f>
        <v>964.56000000000017</v>
      </c>
      <c r="Z21" s="466"/>
      <c r="AA21" s="466"/>
      <c r="AB21" s="466"/>
      <c r="AC21" s="466"/>
      <c r="AD21" s="467"/>
      <c r="AE21" s="347" t="s">
        <v>239</v>
      </c>
      <c r="AF21" s="348"/>
      <c r="AG21" s="348"/>
      <c r="AH21" s="348"/>
      <c r="AI21" s="348"/>
      <c r="AJ21" s="348"/>
      <c r="AK21" s="348"/>
      <c r="AL21" s="349"/>
      <c r="AM21" s="490"/>
      <c r="AN21" s="489"/>
      <c r="AO21" s="489"/>
      <c r="AP21" s="489"/>
    </row>
    <row r="22" spans="1:42" ht="12.75" customHeight="1" x14ac:dyDescent="0.2">
      <c r="A22" s="350">
        <v>361</v>
      </c>
      <c r="B22" s="351"/>
      <c r="C22" s="351"/>
      <c r="D22" s="352"/>
      <c r="E22" s="9"/>
      <c r="F22" s="9"/>
      <c r="G22" s="9"/>
      <c r="H22" s="9"/>
      <c r="I22" s="9"/>
      <c r="J22" s="9"/>
      <c r="K22" s="9"/>
      <c r="L22" s="9"/>
      <c r="M22" s="353"/>
      <c r="N22" s="353"/>
      <c r="O22" s="10" t="s">
        <v>204</v>
      </c>
      <c r="P22" s="10" t="s">
        <v>156</v>
      </c>
      <c r="Q22" s="10" t="s">
        <v>158</v>
      </c>
      <c r="R22" s="10" t="s">
        <v>158</v>
      </c>
      <c r="S22" s="324"/>
      <c r="T22" s="325"/>
      <c r="U22" s="325"/>
      <c r="V22" s="325"/>
      <c r="W22" s="325"/>
      <c r="X22" s="326"/>
      <c r="Y22" s="354">
        <f>PRİMVEHİZBEL!AK18</f>
        <v>385.82</v>
      </c>
      <c r="Z22" s="355"/>
      <c r="AA22" s="355"/>
      <c r="AB22" s="355"/>
      <c r="AC22" s="355"/>
      <c r="AD22" s="356"/>
      <c r="AE22" s="357" t="s">
        <v>224</v>
      </c>
      <c r="AF22" s="358"/>
      <c r="AG22" s="358"/>
      <c r="AH22" s="358"/>
      <c r="AI22" s="358"/>
      <c r="AJ22" s="358"/>
      <c r="AK22" s="358"/>
      <c r="AL22" s="359"/>
      <c r="AM22" s="491"/>
      <c r="AN22" s="492"/>
      <c r="AO22" s="492"/>
      <c r="AP22" s="492"/>
    </row>
    <row r="23" spans="1:42" ht="12.75" customHeight="1" x14ac:dyDescent="0.2">
      <c r="A23" s="350"/>
      <c r="B23" s="351"/>
      <c r="C23" s="351"/>
      <c r="D23" s="352"/>
      <c r="E23" s="9"/>
      <c r="F23" s="9"/>
      <c r="G23" s="9"/>
      <c r="H23" s="9"/>
      <c r="I23" s="9"/>
      <c r="J23" s="9"/>
      <c r="K23" s="9"/>
      <c r="L23" s="9"/>
      <c r="M23" s="353"/>
      <c r="N23" s="353"/>
      <c r="O23" s="10"/>
      <c r="P23" s="10"/>
      <c r="Q23" s="10"/>
      <c r="R23" s="10"/>
      <c r="S23" s="324"/>
      <c r="T23" s="325"/>
      <c r="U23" s="325"/>
      <c r="V23" s="325"/>
      <c r="W23" s="325"/>
      <c r="X23" s="326"/>
      <c r="Y23" s="324">
        <f>SUM(Y18:Y22)</f>
        <v>6655.45</v>
      </c>
      <c r="Z23" s="325"/>
      <c r="AA23" s="325"/>
      <c r="AB23" s="325"/>
      <c r="AC23" s="325"/>
      <c r="AD23" s="326"/>
      <c r="AE23" s="446" t="s">
        <v>207</v>
      </c>
      <c r="AF23" s="447"/>
      <c r="AG23" s="447"/>
      <c r="AH23" s="447"/>
      <c r="AI23" s="447"/>
      <c r="AJ23" s="447"/>
      <c r="AK23" s="447"/>
      <c r="AL23" s="448"/>
    </row>
    <row r="24" spans="1:42" ht="12.75" customHeight="1" x14ac:dyDescent="0.2">
      <c r="A24" s="343">
        <v>325</v>
      </c>
      <c r="B24" s="344"/>
      <c r="C24" s="344"/>
      <c r="D24" s="345"/>
      <c r="E24" s="38"/>
      <c r="F24" s="38"/>
      <c r="G24" s="38"/>
      <c r="H24" s="38"/>
      <c r="I24" s="38"/>
      <c r="J24" s="38"/>
      <c r="K24" s="38"/>
      <c r="L24" s="38"/>
      <c r="M24" s="346"/>
      <c r="N24" s="346"/>
      <c r="O24" s="27"/>
      <c r="P24" s="27"/>
      <c r="Q24" s="27"/>
      <c r="R24" s="27"/>
      <c r="S24" s="360"/>
      <c r="T24" s="361"/>
      <c r="U24" s="361"/>
      <c r="V24" s="361"/>
      <c r="W24" s="361"/>
      <c r="X24" s="362"/>
      <c r="Y24" s="360">
        <f>BORDRO!AC58</f>
        <v>16590.400000000001</v>
      </c>
      <c r="Z24" s="361"/>
      <c r="AA24" s="361"/>
      <c r="AB24" s="361"/>
      <c r="AC24" s="361"/>
      <c r="AD24" s="362"/>
      <c r="AE24" s="327" t="s">
        <v>191</v>
      </c>
      <c r="AF24" s="328"/>
      <c r="AG24" s="328"/>
      <c r="AH24" s="328"/>
      <c r="AI24" s="328"/>
      <c r="AJ24" s="328"/>
      <c r="AK24" s="328"/>
      <c r="AL24" s="329"/>
    </row>
    <row r="25" spans="1:42" s="41" customFormat="1" ht="12.75" customHeight="1" x14ac:dyDescent="0.2">
      <c r="A25" s="330"/>
      <c r="B25" s="331"/>
      <c r="C25" s="331"/>
      <c r="D25" s="332"/>
      <c r="E25" s="28"/>
      <c r="F25" s="28"/>
      <c r="G25" s="28"/>
      <c r="H25" s="28"/>
      <c r="I25" s="28"/>
      <c r="J25" s="28"/>
      <c r="K25" s="28"/>
      <c r="L25" s="28"/>
      <c r="M25" s="333"/>
      <c r="N25" s="333"/>
      <c r="O25" s="40"/>
      <c r="P25" s="40"/>
      <c r="Q25" s="40"/>
      <c r="R25" s="40"/>
      <c r="S25" s="334"/>
      <c r="T25" s="335"/>
      <c r="U25" s="335"/>
      <c r="V25" s="335"/>
      <c r="W25" s="335"/>
      <c r="X25" s="336"/>
      <c r="Y25" s="337"/>
      <c r="Z25" s="338"/>
      <c r="AA25" s="338"/>
      <c r="AB25" s="338"/>
      <c r="AC25" s="338"/>
      <c r="AD25" s="339"/>
      <c r="AE25" s="340"/>
      <c r="AF25" s="341"/>
      <c r="AG25" s="341"/>
      <c r="AH25" s="341"/>
      <c r="AI25" s="341"/>
      <c r="AJ25" s="341"/>
      <c r="AK25" s="341"/>
      <c r="AL25" s="342"/>
    </row>
    <row r="26" spans="1:42" s="41" customFormat="1" ht="12.75" customHeight="1" x14ac:dyDescent="0.2">
      <c r="A26" s="330"/>
      <c r="B26" s="331"/>
      <c r="C26" s="331"/>
      <c r="D26" s="332"/>
      <c r="E26" s="39"/>
      <c r="F26" s="39"/>
      <c r="G26" s="39"/>
      <c r="H26" s="39"/>
      <c r="I26" s="39"/>
      <c r="J26" s="39"/>
      <c r="K26" s="39"/>
      <c r="L26" s="39"/>
      <c r="M26" s="461"/>
      <c r="N26" s="461"/>
      <c r="O26" s="40"/>
      <c r="P26" s="40"/>
      <c r="Q26" s="40"/>
      <c r="R26" s="40"/>
      <c r="S26" s="334"/>
      <c r="T26" s="335"/>
      <c r="U26" s="335"/>
      <c r="V26" s="335"/>
      <c r="W26" s="335"/>
      <c r="X26" s="336"/>
      <c r="Y26" s="334"/>
      <c r="Z26" s="335"/>
      <c r="AA26" s="335"/>
      <c r="AB26" s="335"/>
      <c r="AC26" s="335"/>
      <c r="AD26" s="336"/>
      <c r="AE26" s="340"/>
      <c r="AF26" s="341"/>
      <c r="AG26" s="341"/>
      <c r="AH26" s="341"/>
      <c r="AI26" s="341"/>
      <c r="AJ26" s="341"/>
      <c r="AK26" s="341"/>
      <c r="AL26" s="342"/>
    </row>
    <row r="27" spans="1:42" s="41" customFormat="1" ht="12.75" customHeight="1" x14ac:dyDescent="0.2">
      <c r="A27" s="330"/>
      <c r="B27" s="331"/>
      <c r="C27" s="331"/>
      <c r="D27" s="332"/>
      <c r="E27" s="39"/>
      <c r="F27" s="39"/>
      <c r="G27" s="39"/>
      <c r="H27" s="39"/>
      <c r="I27" s="39"/>
      <c r="J27" s="39"/>
      <c r="K27" s="39"/>
      <c r="L27" s="39"/>
      <c r="M27" s="461"/>
      <c r="N27" s="461"/>
      <c r="O27" s="40"/>
      <c r="P27" s="40"/>
      <c r="Q27" s="40"/>
      <c r="R27" s="40"/>
      <c r="S27" s="334"/>
      <c r="T27" s="335"/>
      <c r="U27" s="335"/>
      <c r="V27" s="335"/>
      <c r="W27" s="335"/>
      <c r="X27" s="336"/>
      <c r="Y27" s="334"/>
      <c r="Z27" s="335"/>
      <c r="AA27" s="335"/>
      <c r="AB27" s="335"/>
      <c r="AC27" s="335"/>
      <c r="AD27" s="336"/>
      <c r="AE27" s="340"/>
      <c r="AF27" s="341"/>
      <c r="AG27" s="341"/>
      <c r="AH27" s="341"/>
      <c r="AI27" s="341"/>
      <c r="AJ27" s="341"/>
      <c r="AK27" s="341"/>
      <c r="AL27" s="342"/>
    </row>
    <row r="28" spans="1:42" s="41" customFormat="1" ht="12.75" customHeight="1" x14ac:dyDescent="0.2">
      <c r="A28" s="330"/>
      <c r="B28" s="331"/>
      <c r="C28" s="331"/>
      <c r="D28" s="332"/>
      <c r="E28" s="39"/>
      <c r="F28" s="39"/>
      <c r="G28" s="39"/>
      <c r="H28" s="39"/>
      <c r="I28" s="39"/>
      <c r="J28" s="39"/>
      <c r="K28" s="39"/>
      <c r="L28" s="39"/>
      <c r="M28" s="461"/>
      <c r="N28" s="461"/>
      <c r="O28" s="40"/>
      <c r="P28" s="40"/>
      <c r="Q28" s="40"/>
      <c r="R28" s="40"/>
      <c r="S28" s="334"/>
      <c r="T28" s="335"/>
      <c r="U28" s="335"/>
      <c r="V28" s="335"/>
      <c r="W28" s="335"/>
      <c r="X28" s="336"/>
      <c r="Y28" s="334"/>
      <c r="Z28" s="335"/>
      <c r="AA28" s="335"/>
      <c r="AB28" s="335"/>
      <c r="AC28" s="335"/>
      <c r="AD28" s="336"/>
      <c r="AE28" s="340"/>
      <c r="AF28" s="341"/>
      <c r="AG28" s="341"/>
      <c r="AH28" s="341"/>
      <c r="AI28" s="341"/>
      <c r="AJ28" s="341"/>
      <c r="AK28" s="341"/>
      <c r="AL28" s="342"/>
    </row>
    <row r="29" spans="1:42" ht="12.75" customHeight="1" x14ac:dyDescent="0.2">
      <c r="A29" s="350"/>
      <c r="B29" s="351"/>
      <c r="C29" s="351"/>
      <c r="D29" s="352"/>
      <c r="E29" s="9"/>
      <c r="F29" s="9"/>
      <c r="G29" s="9"/>
      <c r="H29" s="9"/>
      <c r="I29" s="9"/>
      <c r="J29" s="9"/>
      <c r="K29" s="9"/>
      <c r="L29" s="9"/>
      <c r="M29" s="353"/>
      <c r="N29" s="353"/>
      <c r="O29" s="10"/>
      <c r="P29" s="10"/>
      <c r="Q29" s="10"/>
      <c r="R29" s="10"/>
      <c r="S29" s="324"/>
      <c r="T29" s="325"/>
      <c r="U29" s="325"/>
      <c r="V29" s="325"/>
      <c r="W29" s="325"/>
      <c r="X29" s="326"/>
      <c r="Y29" s="324"/>
      <c r="Z29" s="325"/>
      <c r="AA29" s="325"/>
      <c r="AB29" s="325"/>
      <c r="AC29" s="325"/>
      <c r="AD29" s="326"/>
      <c r="AE29" s="340"/>
      <c r="AF29" s="341"/>
      <c r="AG29" s="341"/>
      <c r="AH29" s="341"/>
      <c r="AI29" s="341"/>
      <c r="AJ29" s="341"/>
      <c r="AK29" s="341"/>
      <c r="AL29" s="342"/>
    </row>
    <row r="30" spans="1:42" ht="12.75" customHeight="1" x14ac:dyDescent="0.2">
      <c r="A30" s="350"/>
      <c r="B30" s="351"/>
      <c r="C30" s="351"/>
      <c r="D30" s="352"/>
      <c r="E30" s="9"/>
      <c r="F30" s="9"/>
      <c r="G30" s="9"/>
      <c r="H30" s="9"/>
      <c r="I30" s="9"/>
      <c r="J30" s="9"/>
      <c r="K30" s="9"/>
      <c r="L30" s="9"/>
      <c r="M30" s="353"/>
      <c r="N30" s="353"/>
      <c r="O30" s="10"/>
      <c r="P30" s="10"/>
      <c r="Q30" s="10"/>
      <c r="R30" s="10"/>
      <c r="S30" s="324"/>
      <c r="T30" s="325"/>
      <c r="U30" s="325"/>
      <c r="V30" s="325"/>
      <c r="W30" s="325"/>
      <c r="X30" s="326"/>
      <c r="Y30" s="324"/>
      <c r="Z30" s="325"/>
      <c r="AA30" s="325"/>
      <c r="AB30" s="325"/>
      <c r="AC30" s="325"/>
      <c r="AD30" s="326"/>
      <c r="AE30" s="446"/>
      <c r="AF30" s="447"/>
      <c r="AG30" s="447"/>
      <c r="AH30" s="447"/>
      <c r="AI30" s="447"/>
      <c r="AJ30" s="447"/>
      <c r="AK30" s="447"/>
      <c r="AL30" s="448"/>
    </row>
    <row r="31" spans="1:42" ht="12.75" customHeight="1" x14ac:dyDescent="0.2">
      <c r="A31" s="449"/>
      <c r="B31" s="450"/>
      <c r="C31" s="450"/>
      <c r="D31" s="451"/>
      <c r="E31" s="28"/>
      <c r="F31" s="28"/>
      <c r="G31" s="28"/>
      <c r="H31" s="28"/>
      <c r="I31" s="28"/>
      <c r="J31" s="28"/>
      <c r="K31" s="28"/>
      <c r="L31" s="28"/>
      <c r="M31" s="333"/>
      <c r="N31" s="333"/>
      <c r="O31" s="29"/>
      <c r="P31" s="29"/>
      <c r="Q31" s="29"/>
      <c r="R31" s="29"/>
      <c r="S31" s="337"/>
      <c r="T31" s="338"/>
      <c r="U31" s="338"/>
      <c r="V31" s="338"/>
      <c r="W31" s="338"/>
      <c r="X31" s="339"/>
      <c r="Y31" s="337"/>
      <c r="Z31" s="338"/>
      <c r="AA31" s="338"/>
      <c r="AB31" s="338"/>
      <c r="AC31" s="338"/>
      <c r="AD31" s="339"/>
      <c r="AE31" s="462"/>
      <c r="AF31" s="463"/>
      <c r="AG31" s="463"/>
      <c r="AH31" s="463"/>
      <c r="AI31" s="463"/>
      <c r="AJ31" s="463"/>
      <c r="AK31" s="463"/>
      <c r="AL31" s="464"/>
    </row>
    <row r="32" spans="1:42" ht="12.75" customHeight="1" x14ac:dyDescent="0.2">
      <c r="A32" s="449"/>
      <c r="B32" s="450"/>
      <c r="C32" s="450"/>
      <c r="D32" s="451"/>
      <c r="E32" s="28"/>
      <c r="F32" s="28"/>
      <c r="G32" s="28"/>
      <c r="H32" s="28"/>
      <c r="I32" s="28"/>
      <c r="J32" s="28"/>
      <c r="K32" s="28"/>
      <c r="L32" s="28"/>
      <c r="M32" s="333"/>
      <c r="N32" s="333"/>
      <c r="O32" s="29"/>
      <c r="P32" s="29"/>
      <c r="Q32" s="29"/>
      <c r="R32" s="29"/>
      <c r="S32" s="337"/>
      <c r="T32" s="338"/>
      <c r="U32" s="338"/>
      <c r="V32" s="338"/>
      <c r="W32" s="338"/>
      <c r="X32" s="339"/>
      <c r="Y32" s="337"/>
      <c r="Z32" s="338"/>
      <c r="AA32" s="338"/>
      <c r="AB32" s="338"/>
      <c r="AC32" s="338"/>
      <c r="AD32" s="339"/>
      <c r="AE32" s="462"/>
      <c r="AF32" s="463"/>
      <c r="AG32" s="463"/>
      <c r="AH32" s="463"/>
      <c r="AI32" s="463"/>
      <c r="AJ32" s="463"/>
      <c r="AK32" s="463"/>
      <c r="AL32" s="464"/>
    </row>
    <row r="33" spans="1:38" ht="12.75" customHeight="1" x14ac:dyDescent="0.2">
      <c r="A33" s="453" t="s">
        <v>144</v>
      </c>
      <c r="B33" s="454"/>
      <c r="C33" s="454"/>
      <c r="D33" s="454"/>
      <c r="E33" s="454"/>
      <c r="F33" s="454"/>
      <c r="G33" s="454"/>
      <c r="H33" s="454"/>
      <c r="I33" s="454"/>
      <c r="J33" s="454"/>
      <c r="K33" s="454"/>
      <c r="L33" s="454"/>
      <c r="M33" s="454"/>
      <c r="N33" s="454"/>
      <c r="O33" s="454"/>
      <c r="P33" s="454"/>
      <c r="Q33" s="454"/>
      <c r="R33" s="455"/>
      <c r="S33" s="456">
        <f>SUM(S12:S32)</f>
        <v>23245.919999999998</v>
      </c>
      <c r="T33" s="457"/>
      <c r="U33" s="457"/>
      <c r="V33" s="457"/>
      <c r="W33" s="457"/>
      <c r="X33" s="458"/>
      <c r="Y33" s="456">
        <f>SUM(Y12:Y32)-Y23</f>
        <v>23245.850000000002</v>
      </c>
      <c r="Z33" s="457"/>
      <c r="AA33" s="457"/>
      <c r="AB33" s="457"/>
      <c r="AC33" s="457"/>
      <c r="AD33" s="458"/>
      <c r="AE33" s="446"/>
      <c r="AF33" s="447"/>
      <c r="AG33" s="447"/>
      <c r="AH33" s="447"/>
      <c r="AI33" s="447"/>
      <c r="AJ33" s="447"/>
      <c r="AK33" s="447"/>
      <c r="AL33" s="448"/>
    </row>
    <row r="34" spans="1:38" ht="12.75" customHeight="1" x14ac:dyDescent="0.2">
      <c r="A34" s="453" t="s">
        <v>145</v>
      </c>
      <c r="B34" s="454"/>
      <c r="C34" s="454"/>
      <c r="D34" s="454"/>
      <c r="E34" s="454"/>
      <c r="F34" s="454"/>
      <c r="G34" s="454"/>
      <c r="H34" s="454"/>
      <c r="I34" s="454"/>
      <c r="J34" s="454"/>
      <c r="K34" s="454"/>
      <c r="L34" s="454"/>
      <c r="M34" s="454"/>
      <c r="N34" s="454"/>
      <c r="O34" s="454"/>
      <c r="P34" s="454"/>
      <c r="Q34" s="454"/>
      <c r="R34" s="455"/>
      <c r="S34" s="456">
        <f>S12+S13</f>
        <v>23245.919999999998</v>
      </c>
      <c r="T34" s="457"/>
      <c r="U34" s="457"/>
      <c r="V34" s="457"/>
      <c r="W34" s="457"/>
      <c r="X34" s="458"/>
      <c r="Y34" s="456"/>
      <c r="Z34" s="457"/>
      <c r="AA34" s="457"/>
      <c r="AB34" s="457"/>
      <c r="AC34" s="457"/>
      <c r="AD34" s="458"/>
      <c r="AE34" s="446"/>
      <c r="AF34" s="447"/>
      <c r="AG34" s="447"/>
      <c r="AH34" s="447"/>
      <c r="AI34" s="447"/>
      <c r="AJ34" s="447"/>
      <c r="AK34" s="447"/>
      <c r="AL34" s="448"/>
    </row>
    <row r="35" spans="1:38" ht="9" customHeight="1" x14ac:dyDescent="0.2"/>
    <row r="36" spans="1:38" x14ac:dyDescent="0.2">
      <c r="A36" s="459" t="s">
        <v>47</v>
      </c>
      <c r="B36" s="459"/>
      <c r="C36" s="459"/>
      <c r="D36" s="459"/>
      <c r="E36" s="460" t="str">
        <f>SAYFA!A25</f>
        <v>//beşbinaltıyüz TL ellisekiz Kuruş//</v>
      </c>
      <c r="F36" s="460"/>
      <c r="G36" s="460"/>
      <c r="H36" s="460"/>
      <c r="I36" s="460"/>
      <c r="J36" s="460"/>
      <c r="K36" s="460"/>
      <c r="L36" s="460"/>
      <c r="M36" s="460"/>
      <c r="N36" s="460"/>
      <c r="O36" s="460"/>
      <c r="P36" s="460"/>
      <c r="Q36" s="460"/>
      <c r="R36" s="460"/>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90" t="s">
        <v>147</v>
      </c>
      <c r="B38" s="391"/>
      <c r="C38" s="391"/>
      <c r="D38" s="392"/>
      <c r="E38" s="390" t="s">
        <v>148</v>
      </c>
      <c r="F38" s="391"/>
      <c r="G38" s="391"/>
      <c r="H38" s="392"/>
      <c r="I38" s="390" t="s">
        <v>194</v>
      </c>
      <c r="J38" s="391"/>
      <c r="K38" s="391"/>
      <c r="L38" s="392"/>
      <c r="M38" s="390" t="s">
        <v>48</v>
      </c>
      <c r="N38" s="391"/>
      <c r="O38" s="391"/>
      <c r="P38" s="392"/>
      <c r="Q38" s="390" t="s">
        <v>49</v>
      </c>
      <c r="R38" s="391"/>
      <c r="S38" s="391"/>
      <c r="T38" s="392"/>
      <c r="U38" s="443" t="s">
        <v>149</v>
      </c>
      <c r="V38" s="443"/>
      <c r="W38" s="443"/>
      <c r="X38" s="443"/>
      <c r="AA38" s="444" t="s">
        <v>150</v>
      </c>
      <c r="AB38" s="444"/>
      <c r="AC38" s="444"/>
      <c r="AD38" s="444"/>
      <c r="AE38" s="444"/>
      <c r="AF38" s="444"/>
      <c r="AG38" s="444"/>
      <c r="AH38" s="444"/>
      <c r="AI38" s="444"/>
      <c r="AJ38" s="444"/>
      <c r="AK38" s="444"/>
    </row>
    <row r="39" spans="1:38" ht="11.45" customHeight="1" x14ac:dyDescent="0.2">
      <c r="A39" s="393"/>
      <c r="B39" s="394"/>
      <c r="C39" s="394"/>
      <c r="D39" s="395"/>
      <c r="E39" s="393"/>
      <c r="F39" s="394"/>
      <c r="G39" s="394"/>
      <c r="H39" s="395"/>
      <c r="I39" s="393"/>
      <c r="J39" s="394"/>
      <c r="K39" s="394"/>
      <c r="L39" s="395"/>
      <c r="M39" s="393"/>
      <c r="N39" s="394"/>
      <c r="O39" s="394"/>
      <c r="P39" s="395"/>
      <c r="Q39" s="393"/>
      <c r="R39" s="394"/>
      <c r="S39" s="394"/>
      <c r="T39" s="395"/>
      <c r="U39" s="443"/>
      <c r="V39" s="443"/>
      <c r="W39" s="443"/>
      <c r="X39" s="443"/>
      <c r="AA39" s="445">
        <f ca="1">TODAY()</f>
        <v>44621</v>
      </c>
      <c r="AB39" s="444"/>
      <c r="AC39" s="444"/>
      <c r="AD39" s="444"/>
      <c r="AE39" s="444"/>
      <c r="AF39" s="444"/>
      <c r="AG39" s="444"/>
      <c r="AH39" s="444"/>
      <c r="AI39" s="444"/>
      <c r="AJ39" s="444"/>
      <c r="AK39" s="444"/>
    </row>
    <row r="40" spans="1:38" ht="22.5" customHeight="1" x14ac:dyDescent="0.2">
      <c r="A40" s="432"/>
      <c r="B40" s="433"/>
      <c r="C40" s="433"/>
      <c r="D40" s="434"/>
      <c r="E40" s="438">
        <f>S12+S13</f>
        <v>23245.919999999998</v>
      </c>
      <c r="F40" s="439"/>
      <c r="G40" s="439"/>
      <c r="H40" s="439"/>
      <c r="I40" s="442">
        <f>S14</f>
        <v>0</v>
      </c>
      <c r="J40" s="442"/>
      <c r="K40" s="442"/>
      <c r="L40" s="442"/>
      <c r="M40" s="442">
        <f>BORDRO!AA58</f>
        <v>6655.52</v>
      </c>
      <c r="N40" s="442"/>
      <c r="O40" s="442"/>
      <c r="P40" s="442"/>
      <c r="Q40" s="442">
        <f>(E40+I40)-M40</f>
        <v>16590.399999999998</v>
      </c>
      <c r="R40" s="442"/>
      <c r="S40" s="442"/>
      <c r="T40" s="442"/>
      <c r="U40" s="452"/>
      <c r="V40" s="452"/>
      <c r="W40" s="452"/>
      <c r="X40" s="452"/>
      <c r="AA40" s="430"/>
      <c r="AB40" s="430"/>
      <c r="AC40" s="430"/>
      <c r="AD40" s="430"/>
      <c r="AE40" s="430"/>
      <c r="AF40" s="430"/>
      <c r="AG40" s="430"/>
      <c r="AH40" s="430"/>
      <c r="AI40" s="430"/>
      <c r="AJ40" s="430"/>
      <c r="AK40" s="430"/>
    </row>
    <row r="41" spans="1:38" ht="11.45" customHeight="1" x14ac:dyDescent="0.2">
      <c r="A41" s="435"/>
      <c r="B41" s="436"/>
      <c r="C41" s="436"/>
      <c r="D41" s="437"/>
      <c r="E41" s="440"/>
      <c r="F41" s="441"/>
      <c r="G41" s="441"/>
      <c r="H41" s="441"/>
      <c r="I41" s="442"/>
      <c r="J41" s="442"/>
      <c r="K41" s="442"/>
      <c r="L41" s="442"/>
      <c r="M41" s="442"/>
      <c r="N41" s="442"/>
      <c r="O41" s="442"/>
      <c r="P41" s="442"/>
      <c r="Q41" s="442"/>
      <c r="R41" s="442"/>
      <c r="S41" s="442"/>
      <c r="T41" s="442"/>
      <c r="U41" s="452"/>
      <c r="V41" s="452"/>
      <c r="W41" s="452"/>
      <c r="X41" s="452"/>
      <c r="AA41" s="430"/>
      <c r="AB41" s="430"/>
      <c r="AC41" s="430"/>
      <c r="AD41" s="430"/>
      <c r="AE41" s="430"/>
      <c r="AF41" s="430"/>
      <c r="AG41" s="430"/>
      <c r="AH41" s="430"/>
      <c r="AI41" s="430"/>
      <c r="AJ41" s="430"/>
      <c r="AK41" s="430"/>
    </row>
    <row r="42" spans="1:38" ht="11.45" customHeight="1" x14ac:dyDescent="0.2">
      <c r="A42" s="427" t="s">
        <v>50</v>
      </c>
      <c r="B42" s="428"/>
      <c r="C42" s="428"/>
      <c r="D42" s="428"/>
      <c r="E42" s="428"/>
      <c r="F42" s="428"/>
      <c r="G42" s="428"/>
      <c r="H42" s="428"/>
      <c r="I42" s="428"/>
      <c r="J42" s="428"/>
      <c r="K42" s="428"/>
      <c r="L42" s="428"/>
      <c r="M42" s="428"/>
      <c r="N42" s="428"/>
      <c r="O42" s="428"/>
      <c r="P42" s="428"/>
      <c r="Q42" s="428"/>
      <c r="R42" s="429"/>
      <c r="S42" s="32"/>
      <c r="T42" s="32"/>
      <c r="U42" s="33"/>
      <c r="V42" s="33"/>
      <c r="W42" s="33"/>
      <c r="X42" s="33"/>
    </row>
    <row r="43" spans="1:38" x14ac:dyDescent="0.2">
      <c r="A43" s="431" t="s">
        <v>51</v>
      </c>
      <c r="B43" s="431"/>
      <c r="C43" s="431"/>
      <c r="D43" s="431"/>
      <c r="E43" s="431"/>
      <c r="F43" s="431" t="s">
        <v>52</v>
      </c>
      <c r="G43" s="431"/>
      <c r="H43" s="431"/>
      <c r="I43" s="431"/>
      <c r="J43" s="431"/>
      <c r="K43" s="431"/>
      <c r="L43" s="431" t="s">
        <v>151</v>
      </c>
      <c r="M43" s="431"/>
      <c r="N43" s="431"/>
      <c r="O43" s="431"/>
      <c r="P43" s="431"/>
      <c r="Q43" s="431"/>
      <c r="R43" s="431"/>
      <c r="S43" s="427" t="s">
        <v>53</v>
      </c>
      <c r="T43" s="428"/>
      <c r="U43" s="428"/>
      <c r="V43" s="428"/>
      <c r="W43" s="428"/>
      <c r="X43" s="428"/>
      <c r="Y43" s="428"/>
      <c r="Z43" s="428"/>
      <c r="AA43" s="428"/>
      <c r="AB43" s="428"/>
      <c r="AC43" s="428"/>
      <c r="AD43" s="428"/>
      <c r="AE43" s="428"/>
      <c r="AF43" s="428"/>
      <c r="AG43" s="428"/>
      <c r="AH43" s="428"/>
      <c r="AI43" s="428"/>
      <c r="AJ43" s="428"/>
      <c r="AK43" s="428"/>
      <c r="AL43" s="429"/>
    </row>
    <row r="44" spans="1:38" x14ac:dyDescent="0.2">
      <c r="A44" s="399"/>
      <c r="B44" s="399"/>
      <c r="C44" s="399"/>
      <c r="D44" s="399"/>
      <c r="E44" s="399"/>
      <c r="F44" s="399"/>
      <c r="G44" s="399"/>
      <c r="H44" s="399"/>
      <c r="I44" s="399"/>
      <c r="J44" s="399"/>
      <c r="K44" s="399"/>
      <c r="L44" s="399"/>
      <c r="M44" s="399"/>
      <c r="N44" s="399"/>
      <c r="O44" s="399"/>
      <c r="P44" s="399"/>
      <c r="Q44" s="399"/>
      <c r="R44" s="399"/>
      <c r="S44" s="34"/>
      <c r="T44" s="423" t="s">
        <v>58</v>
      </c>
      <c r="U44" s="423"/>
      <c r="V44" s="423"/>
      <c r="W44" s="423"/>
      <c r="X44" s="423"/>
      <c r="Y44" s="423"/>
      <c r="Z44" s="423"/>
      <c r="AA44" s="423"/>
      <c r="AB44" s="423"/>
      <c r="AC44" s="423"/>
      <c r="AD44" s="423"/>
      <c r="AE44" s="423"/>
      <c r="AF44" s="423"/>
      <c r="AG44" s="423"/>
      <c r="AH44" s="423"/>
      <c r="AI44" s="423"/>
      <c r="AJ44" s="423"/>
      <c r="AK44" s="2"/>
      <c r="AL44" s="3"/>
    </row>
    <row r="45" spans="1:38" x14ac:dyDescent="0.2">
      <c r="A45" s="399"/>
      <c r="B45" s="399"/>
      <c r="C45" s="399"/>
      <c r="D45" s="399"/>
      <c r="E45" s="399"/>
      <c r="F45" s="399"/>
      <c r="G45" s="399"/>
      <c r="H45" s="399"/>
      <c r="I45" s="399"/>
      <c r="J45" s="399"/>
      <c r="K45" s="399"/>
      <c r="L45" s="399"/>
      <c r="M45" s="399"/>
      <c r="N45" s="399"/>
      <c r="O45" s="399"/>
      <c r="P45" s="399"/>
      <c r="Q45" s="399"/>
      <c r="R45" s="399"/>
      <c r="S45" s="35"/>
      <c r="T45" s="423" t="s">
        <v>210</v>
      </c>
      <c r="U45" s="423"/>
      <c r="V45" s="423"/>
      <c r="W45" s="423"/>
      <c r="X45" s="423"/>
      <c r="Y45" s="423"/>
      <c r="Z45" s="423"/>
      <c r="AA45" s="423"/>
      <c r="AB45" s="423"/>
      <c r="AC45" s="423"/>
      <c r="AD45" s="423"/>
      <c r="AE45" s="423"/>
      <c r="AF45" s="423"/>
      <c r="AG45" s="423"/>
      <c r="AH45" s="423"/>
      <c r="AI45" s="423"/>
      <c r="AJ45" s="423"/>
      <c r="AK45" s="36"/>
      <c r="AL45" s="37"/>
    </row>
    <row r="46" spans="1:38" x14ac:dyDescent="0.2">
      <c r="A46" s="427" t="s">
        <v>54</v>
      </c>
      <c r="B46" s="428"/>
      <c r="C46" s="428"/>
      <c r="D46" s="428"/>
      <c r="E46" s="428"/>
      <c r="F46" s="428"/>
      <c r="G46" s="428"/>
      <c r="H46" s="428"/>
      <c r="I46" s="428"/>
      <c r="J46" s="428"/>
      <c r="K46" s="428"/>
      <c r="L46" s="428"/>
      <c r="M46" s="428"/>
      <c r="N46" s="428"/>
      <c r="O46" s="428"/>
      <c r="P46" s="428"/>
      <c r="Q46" s="428"/>
      <c r="R46" s="429"/>
      <c r="S46" s="35"/>
      <c r="T46" s="423" t="s">
        <v>211</v>
      </c>
      <c r="U46" s="423"/>
      <c r="V46" s="423"/>
      <c r="W46" s="423"/>
      <c r="X46" s="423"/>
      <c r="Y46" s="423"/>
      <c r="Z46" s="423"/>
      <c r="AA46" s="423"/>
      <c r="AB46" s="423"/>
      <c r="AC46" s="423"/>
      <c r="AD46" s="423"/>
      <c r="AE46" s="423"/>
      <c r="AF46" s="423"/>
      <c r="AG46" s="423"/>
      <c r="AH46" s="423"/>
      <c r="AI46" s="423"/>
      <c r="AJ46" s="423"/>
      <c r="AK46" s="36"/>
      <c r="AL46" s="37"/>
    </row>
    <row r="47" spans="1:38" x14ac:dyDescent="0.2">
      <c r="A47" s="424" t="s">
        <v>55</v>
      </c>
      <c r="B47" s="425"/>
      <c r="C47" s="425"/>
      <c r="D47" s="426"/>
      <c r="E47" s="427" t="s">
        <v>1</v>
      </c>
      <c r="F47" s="428"/>
      <c r="G47" s="428"/>
      <c r="H47" s="428"/>
      <c r="I47" s="427" t="s">
        <v>56</v>
      </c>
      <c r="J47" s="428"/>
      <c r="K47" s="428"/>
      <c r="L47" s="428"/>
      <c r="M47" s="429"/>
      <c r="N47" s="427" t="s">
        <v>2</v>
      </c>
      <c r="O47" s="428"/>
      <c r="P47" s="428"/>
      <c r="Q47" s="428"/>
      <c r="R47" s="429"/>
      <c r="S47" s="35"/>
      <c r="T47" s="423" t="s">
        <v>162</v>
      </c>
      <c r="U47" s="423"/>
      <c r="V47" s="423"/>
      <c r="W47" s="423"/>
      <c r="X47" s="423"/>
      <c r="Y47" s="423"/>
      <c r="Z47" s="423"/>
      <c r="AA47" s="423"/>
      <c r="AB47" s="423"/>
      <c r="AC47" s="423"/>
      <c r="AD47" s="423"/>
      <c r="AE47" s="423"/>
      <c r="AF47" s="423"/>
      <c r="AG47" s="423"/>
      <c r="AH47" s="423"/>
      <c r="AI47" s="423"/>
      <c r="AJ47" s="423"/>
      <c r="AK47" s="36"/>
      <c r="AL47" s="37"/>
    </row>
    <row r="48" spans="1:38" x14ac:dyDescent="0.2">
      <c r="A48" s="417"/>
      <c r="B48" s="418"/>
      <c r="C48" s="418"/>
      <c r="D48" s="419"/>
      <c r="E48" s="417"/>
      <c r="F48" s="418"/>
      <c r="G48" s="418"/>
      <c r="H48" s="418"/>
      <c r="I48" s="417"/>
      <c r="J48" s="418"/>
      <c r="K48" s="418"/>
      <c r="L48" s="418"/>
      <c r="M48" s="419"/>
      <c r="N48" s="417"/>
      <c r="O48" s="418"/>
      <c r="P48" s="418"/>
      <c r="Q48" s="418"/>
      <c r="R48" s="419"/>
      <c r="S48" s="35"/>
      <c r="T48" s="423" t="s">
        <v>212</v>
      </c>
      <c r="U48" s="423"/>
      <c r="V48" s="423"/>
      <c r="W48" s="423"/>
      <c r="X48" s="423"/>
      <c r="Y48" s="423"/>
      <c r="Z48" s="423"/>
      <c r="AA48" s="423"/>
      <c r="AB48" s="423"/>
      <c r="AC48" s="423"/>
      <c r="AD48" s="423"/>
      <c r="AE48" s="423"/>
      <c r="AF48" s="423"/>
      <c r="AG48" s="423"/>
      <c r="AH48" s="423"/>
      <c r="AI48" s="423"/>
      <c r="AJ48" s="423"/>
      <c r="AK48" s="36"/>
      <c r="AL48" s="37"/>
    </row>
    <row r="49" spans="1:38" x14ac:dyDescent="0.2">
      <c r="A49" s="420"/>
      <c r="B49" s="421"/>
      <c r="C49" s="421"/>
      <c r="D49" s="422"/>
      <c r="E49" s="420"/>
      <c r="F49" s="421"/>
      <c r="G49" s="421"/>
      <c r="H49" s="421"/>
      <c r="I49" s="420"/>
      <c r="J49" s="421"/>
      <c r="K49" s="421"/>
      <c r="L49" s="421"/>
      <c r="M49" s="422"/>
      <c r="N49" s="420"/>
      <c r="O49" s="421"/>
      <c r="P49" s="421"/>
      <c r="Q49" s="421"/>
      <c r="R49" s="422"/>
      <c r="S49" s="35"/>
      <c r="T49" s="423"/>
      <c r="U49" s="423"/>
      <c r="V49" s="423"/>
      <c r="W49" s="423"/>
      <c r="X49" s="423"/>
      <c r="Y49" s="423"/>
      <c r="Z49" s="423"/>
      <c r="AA49" s="423"/>
      <c r="AB49" s="423"/>
      <c r="AC49" s="423"/>
      <c r="AD49" s="423"/>
      <c r="AE49" s="423"/>
      <c r="AF49" s="423"/>
      <c r="AG49" s="423"/>
      <c r="AH49" s="423"/>
      <c r="AI49" s="423"/>
      <c r="AJ49" s="423"/>
      <c r="AK49" s="36"/>
      <c r="AL49" s="37"/>
    </row>
    <row r="50" spans="1:38" ht="11.45" customHeight="1" x14ac:dyDescent="0.2">
      <c r="A50" s="413"/>
      <c r="B50" s="414"/>
      <c r="C50" s="414"/>
      <c r="D50" s="414"/>
      <c r="E50" s="414"/>
      <c r="F50" s="414"/>
      <c r="G50" s="414"/>
      <c r="H50" s="414"/>
      <c r="I50" s="414"/>
      <c r="J50" s="414"/>
      <c r="K50" s="414"/>
      <c r="L50" s="414"/>
      <c r="M50" s="415"/>
      <c r="N50" s="413"/>
      <c r="O50" s="414"/>
      <c r="P50" s="414"/>
      <c r="Q50" s="414"/>
      <c r="R50" s="414"/>
      <c r="S50" s="414"/>
      <c r="T50" s="414"/>
      <c r="U50" s="414"/>
      <c r="V50" s="414"/>
      <c r="W50" s="414"/>
      <c r="X50" s="415"/>
      <c r="Y50" s="413"/>
      <c r="Z50" s="414"/>
      <c r="AA50" s="414"/>
      <c r="AB50" s="414"/>
      <c r="AC50" s="414"/>
      <c r="AD50" s="414"/>
      <c r="AE50" s="414"/>
      <c r="AF50" s="414"/>
      <c r="AG50" s="414"/>
      <c r="AH50" s="414"/>
      <c r="AI50" s="414"/>
      <c r="AJ50" s="414"/>
      <c r="AK50" s="414"/>
      <c r="AL50" s="415"/>
    </row>
    <row r="51" spans="1:38" ht="11.45" customHeight="1" x14ac:dyDescent="0.2">
      <c r="A51" s="405"/>
      <c r="B51" s="406"/>
      <c r="C51" s="406"/>
      <c r="D51" s="406"/>
      <c r="E51" s="406"/>
      <c r="F51" s="406"/>
      <c r="G51" s="406"/>
      <c r="H51" s="406"/>
      <c r="I51" s="406"/>
      <c r="J51" s="406"/>
      <c r="K51" s="406"/>
      <c r="L51" s="406"/>
      <c r="M51" s="407"/>
      <c r="N51" s="405" t="s">
        <v>3</v>
      </c>
      <c r="O51" s="406"/>
      <c r="P51" s="406"/>
      <c r="Q51" s="406"/>
      <c r="R51" s="406"/>
      <c r="S51" s="406"/>
      <c r="T51" s="406"/>
      <c r="U51" s="406"/>
      <c r="V51" s="406"/>
      <c r="W51" s="406"/>
      <c r="X51" s="407"/>
      <c r="Y51" s="405" t="s">
        <v>152</v>
      </c>
      <c r="Z51" s="406"/>
      <c r="AA51" s="406"/>
      <c r="AB51" s="406"/>
      <c r="AC51" s="406"/>
      <c r="AD51" s="406"/>
      <c r="AE51" s="406"/>
      <c r="AF51" s="406"/>
      <c r="AG51" s="406"/>
      <c r="AH51" s="406"/>
      <c r="AI51" s="406"/>
      <c r="AJ51" s="406"/>
      <c r="AK51" s="406"/>
      <c r="AL51" s="407"/>
    </row>
    <row r="52" spans="1:38" ht="11.45" customHeight="1" x14ac:dyDescent="0.2">
      <c r="A52" s="405" t="str">
        <f>Y52</f>
        <v>……/……./2016</v>
      </c>
      <c r="B52" s="406"/>
      <c r="C52" s="406"/>
      <c r="D52" s="406"/>
      <c r="E52" s="406"/>
      <c r="F52" s="406"/>
      <c r="G52" s="406"/>
      <c r="H52" s="406"/>
      <c r="I52" s="406"/>
      <c r="J52" s="406"/>
      <c r="K52" s="406"/>
      <c r="L52" s="406"/>
      <c r="M52" s="407"/>
      <c r="N52" s="416">
        <f ca="1">AA39</f>
        <v>44621</v>
      </c>
      <c r="O52" s="406"/>
      <c r="P52" s="406"/>
      <c r="Q52" s="406"/>
      <c r="R52" s="406"/>
      <c r="S52" s="406"/>
      <c r="T52" s="406"/>
      <c r="U52" s="406"/>
      <c r="V52" s="406"/>
      <c r="W52" s="406"/>
      <c r="X52" s="407"/>
      <c r="Y52" s="405" t="s">
        <v>205</v>
      </c>
      <c r="Z52" s="406"/>
      <c r="AA52" s="406"/>
      <c r="AB52" s="406"/>
      <c r="AC52" s="406"/>
      <c r="AD52" s="406"/>
      <c r="AE52" s="406"/>
      <c r="AF52" s="406"/>
      <c r="AG52" s="406"/>
      <c r="AH52" s="406"/>
      <c r="AI52" s="406"/>
      <c r="AJ52" s="406"/>
      <c r="AK52" s="406"/>
      <c r="AL52" s="407"/>
    </row>
    <row r="53" spans="1:38" ht="11.45" customHeight="1" x14ac:dyDescent="0.2">
      <c r="A53" s="405"/>
      <c r="B53" s="406"/>
      <c r="C53" s="406"/>
      <c r="D53" s="406"/>
      <c r="E53" s="406"/>
      <c r="F53" s="406"/>
      <c r="G53" s="406"/>
      <c r="H53" s="406"/>
      <c r="I53" s="406"/>
      <c r="J53" s="406"/>
      <c r="K53" s="406"/>
      <c r="L53" s="406"/>
      <c r="M53" s="407"/>
      <c r="N53" s="405" t="s">
        <v>153</v>
      </c>
      <c r="O53" s="406"/>
      <c r="P53" s="406"/>
      <c r="Q53" s="406"/>
      <c r="R53" s="406"/>
      <c r="S53" s="406"/>
      <c r="T53" s="406"/>
      <c r="U53" s="406"/>
      <c r="V53" s="406"/>
      <c r="W53" s="406"/>
      <c r="X53" s="407"/>
      <c r="Y53" s="405" t="s">
        <v>154</v>
      </c>
      <c r="Z53" s="406"/>
      <c r="AA53" s="406"/>
      <c r="AB53" s="406"/>
      <c r="AC53" s="406"/>
      <c r="AD53" s="406"/>
      <c r="AE53" s="406"/>
      <c r="AF53" s="406"/>
      <c r="AG53" s="406"/>
      <c r="AH53" s="406"/>
      <c r="AI53" s="406"/>
      <c r="AJ53" s="406"/>
      <c r="AK53" s="406"/>
      <c r="AL53" s="407"/>
    </row>
    <row r="54" spans="1:38" ht="11.45" customHeight="1" x14ac:dyDescent="0.2">
      <c r="A54" s="405"/>
      <c r="B54" s="406"/>
      <c r="C54" s="406"/>
      <c r="D54" s="406"/>
      <c r="E54" s="406"/>
      <c r="F54" s="406"/>
      <c r="G54" s="406"/>
      <c r="H54" s="406"/>
      <c r="I54" s="406"/>
      <c r="J54" s="406"/>
      <c r="K54" s="406"/>
      <c r="L54" s="406"/>
      <c r="M54" s="407"/>
      <c r="N54" s="405"/>
      <c r="O54" s="406"/>
      <c r="P54" s="406"/>
      <c r="Q54" s="406"/>
      <c r="R54" s="406"/>
      <c r="S54" s="406"/>
      <c r="T54" s="406"/>
      <c r="U54" s="406"/>
      <c r="V54" s="406"/>
      <c r="W54" s="406"/>
      <c r="X54" s="407"/>
      <c r="Y54" s="405"/>
      <c r="Z54" s="406"/>
      <c r="AA54" s="406"/>
      <c r="AB54" s="406"/>
      <c r="AC54" s="406"/>
      <c r="AD54" s="406"/>
      <c r="AE54" s="406"/>
      <c r="AF54" s="406"/>
      <c r="AG54" s="406"/>
      <c r="AH54" s="406"/>
      <c r="AI54" s="406"/>
      <c r="AJ54" s="406"/>
      <c r="AK54" s="406"/>
      <c r="AL54" s="407"/>
    </row>
    <row r="55" spans="1:38" ht="11.45" customHeight="1" x14ac:dyDescent="0.2">
      <c r="A55" s="405"/>
      <c r="B55" s="406"/>
      <c r="C55" s="406"/>
      <c r="D55" s="406"/>
      <c r="E55" s="406"/>
      <c r="F55" s="406"/>
      <c r="G55" s="406"/>
      <c r="H55" s="406"/>
      <c r="I55" s="406"/>
      <c r="J55" s="406"/>
      <c r="K55" s="406"/>
      <c r="L55" s="406"/>
      <c r="M55" s="407"/>
      <c r="N55" s="405"/>
      <c r="O55" s="406"/>
      <c r="P55" s="406"/>
      <c r="Q55" s="406"/>
      <c r="R55" s="406"/>
      <c r="S55" s="406"/>
      <c r="T55" s="406"/>
      <c r="U55" s="406"/>
      <c r="V55" s="406"/>
      <c r="W55" s="406"/>
      <c r="X55" s="407"/>
      <c r="Y55" s="405"/>
      <c r="Z55" s="406"/>
      <c r="AA55" s="406"/>
      <c r="AB55" s="406"/>
      <c r="AC55" s="406"/>
      <c r="AD55" s="406"/>
      <c r="AE55" s="406"/>
      <c r="AF55" s="406"/>
      <c r="AG55" s="406"/>
      <c r="AH55" s="406"/>
      <c r="AI55" s="406"/>
      <c r="AJ55" s="406"/>
      <c r="AK55" s="406"/>
      <c r="AL55" s="407"/>
    </row>
    <row r="56" spans="1:38" ht="11.45" customHeight="1" x14ac:dyDescent="0.2">
      <c r="A56" s="405"/>
      <c r="B56" s="406"/>
      <c r="C56" s="406"/>
      <c r="D56" s="406"/>
      <c r="E56" s="406"/>
      <c r="F56" s="406"/>
      <c r="G56" s="406"/>
      <c r="H56" s="406"/>
      <c r="I56" s="406"/>
      <c r="J56" s="406"/>
      <c r="K56" s="406"/>
      <c r="L56" s="406"/>
      <c r="M56" s="407"/>
      <c r="N56" s="408"/>
      <c r="O56" s="406"/>
      <c r="P56" s="406"/>
      <c r="Q56" s="406"/>
      <c r="R56" s="406"/>
      <c r="S56" s="406"/>
      <c r="T56" s="406"/>
      <c r="U56" s="406"/>
      <c r="V56" s="406"/>
      <c r="W56" s="406"/>
      <c r="X56" s="407"/>
      <c r="Y56" s="408"/>
      <c r="Z56" s="406"/>
      <c r="AA56" s="406"/>
      <c r="AB56" s="406"/>
      <c r="AC56" s="406"/>
      <c r="AD56" s="406"/>
      <c r="AE56" s="406"/>
      <c r="AF56" s="406"/>
      <c r="AG56" s="406"/>
      <c r="AH56" s="406"/>
      <c r="AI56" s="406"/>
      <c r="AJ56" s="406"/>
      <c r="AK56" s="406"/>
      <c r="AL56" s="407"/>
    </row>
    <row r="57" spans="1:38" ht="11.45" customHeight="1" x14ac:dyDescent="0.2">
      <c r="A57" s="409"/>
      <c r="B57" s="410"/>
      <c r="C57" s="410"/>
      <c r="D57" s="410"/>
      <c r="E57" s="410"/>
      <c r="F57" s="410"/>
      <c r="G57" s="410"/>
      <c r="H57" s="410"/>
      <c r="I57" s="410"/>
      <c r="J57" s="410"/>
      <c r="K57" s="410"/>
      <c r="L57" s="410"/>
      <c r="M57" s="411"/>
      <c r="N57" s="412"/>
      <c r="O57" s="410"/>
      <c r="P57" s="410"/>
      <c r="Q57" s="410"/>
      <c r="R57" s="410"/>
      <c r="S57" s="410"/>
      <c r="T57" s="410"/>
      <c r="U57" s="410"/>
      <c r="V57" s="410"/>
      <c r="W57" s="410"/>
      <c r="X57" s="411"/>
      <c r="Y57" s="412"/>
      <c r="Z57" s="410"/>
      <c r="AA57" s="410"/>
      <c r="AB57" s="410"/>
      <c r="AC57" s="410"/>
      <c r="AD57" s="410"/>
      <c r="AE57" s="410"/>
      <c r="AF57" s="410"/>
      <c r="AG57" s="410"/>
      <c r="AH57" s="410"/>
      <c r="AI57" s="410"/>
      <c r="AJ57" s="410"/>
      <c r="AK57" s="410"/>
      <c r="AL57" s="411"/>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00"/>
      <c r="AI58" s="400"/>
      <c r="AJ58" s="400"/>
      <c r="AK58" s="400"/>
      <c r="AL58" s="3"/>
    </row>
    <row r="59" spans="1:38" x14ac:dyDescent="0.2">
      <c r="A59" s="401" t="s">
        <v>57</v>
      </c>
      <c r="B59" s="402"/>
      <c r="C59" s="402"/>
      <c r="D59" s="403" t="str">
        <f>SAYFA!G25</f>
        <v>//onaltıbinbeşyüzdoksan TL kırk Kuruş//</v>
      </c>
      <c r="E59" s="403"/>
      <c r="F59" s="403"/>
      <c r="G59" s="403"/>
      <c r="H59" s="403"/>
      <c r="I59" s="403"/>
      <c r="J59" s="403"/>
      <c r="K59" s="403"/>
      <c r="L59" s="403"/>
      <c r="M59" s="403"/>
      <c r="N59" s="403"/>
      <c r="O59" s="403"/>
      <c r="P59" s="403"/>
      <c r="Q59" s="403"/>
      <c r="R59" s="403"/>
      <c r="S59" s="31" t="s">
        <v>155</v>
      </c>
      <c r="T59" s="31"/>
      <c r="U59" s="31"/>
      <c r="V59" s="31"/>
      <c r="W59" s="31"/>
      <c r="X59" s="31"/>
      <c r="Y59" s="31"/>
      <c r="Z59" s="31"/>
      <c r="AA59" s="31"/>
      <c r="AB59" s="31"/>
      <c r="AC59" s="31"/>
      <c r="AD59" s="31"/>
      <c r="AE59" s="11"/>
      <c r="AF59" s="11"/>
      <c r="AG59" s="11"/>
      <c r="AH59" s="404"/>
      <c r="AI59" s="404"/>
      <c r="AJ59" s="404"/>
      <c r="AK59" s="404"/>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2" sqref="C2"/>
    </sheetView>
  </sheetViews>
  <sheetFormatPr defaultColWidth="9.140625" defaultRowHeight="12.75" x14ac:dyDescent="0.2"/>
  <cols>
    <col min="1" max="1" width="5" style="201" customWidth="1"/>
    <col min="2" max="2" width="28.85546875" style="201" customWidth="1"/>
    <col min="3" max="3" width="14.140625" style="201" customWidth="1"/>
    <col min="4" max="4" width="11.5703125" style="201" customWidth="1"/>
    <col min="5" max="5" width="15" style="201" customWidth="1"/>
    <col min="6" max="10" width="0.140625" style="201" customWidth="1"/>
    <col min="11" max="11" width="9.140625" style="201"/>
    <col min="12" max="14" width="0.28515625" style="201" customWidth="1"/>
    <col min="15" max="17" width="0.140625" style="201" customWidth="1"/>
    <col min="18" max="16384" width="9.140625" style="201"/>
  </cols>
  <sheetData>
    <row r="1" spans="1:18" x14ac:dyDescent="0.2">
      <c r="A1" s="494" t="s">
        <v>164</v>
      </c>
      <c r="B1" s="495"/>
      <c r="C1" s="495"/>
      <c r="D1" s="495"/>
      <c r="E1" s="495"/>
      <c r="F1" s="495"/>
      <c r="G1" s="495"/>
      <c r="H1" s="495"/>
      <c r="I1" s="495"/>
      <c r="J1" s="495"/>
      <c r="K1" s="495"/>
      <c r="L1" s="495"/>
      <c r="M1" s="495"/>
      <c r="N1" s="495"/>
      <c r="O1" s="495"/>
      <c r="P1" s="495"/>
      <c r="Q1" s="496"/>
    </row>
    <row r="2" spans="1:18" x14ac:dyDescent="0.2">
      <c r="A2" s="224" t="s">
        <v>181</v>
      </c>
      <c r="B2" s="202"/>
      <c r="C2" s="203">
        <f>KONTROL!C5</f>
        <v>60048</v>
      </c>
      <c r="D2" s="202" t="s">
        <v>199</v>
      </c>
      <c r="E2" s="204">
        <v>2021</v>
      </c>
      <c r="F2" s="202"/>
      <c r="G2" s="202"/>
      <c r="H2" s="202"/>
      <c r="I2" s="202"/>
      <c r="J2" s="202"/>
      <c r="K2" s="202"/>
      <c r="L2" s="202"/>
      <c r="M2" s="202"/>
      <c r="N2" s="202"/>
      <c r="O2" s="202"/>
      <c r="P2" s="202"/>
      <c r="Q2" s="225"/>
    </row>
    <row r="3" spans="1:18" x14ac:dyDescent="0.2">
      <c r="A3" s="497" t="s">
        <v>165</v>
      </c>
      <c r="B3" s="205">
        <v>1</v>
      </c>
      <c r="C3" s="205">
        <v>2</v>
      </c>
      <c r="D3" s="205">
        <v>3</v>
      </c>
      <c r="E3" s="205">
        <v>4</v>
      </c>
      <c r="F3" s="498" t="s">
        <v>275</v>
      </c>
      <c r="G3" s="498"/>
      <c r="H3" s="498"/>
      <c r="I3" s="498"/>
      <c r="J3" s="498"/>
      <c r="K3" s="498"/>
      <c r="L3" s="498"/>
      <c r="M3" s="498"/>
      <c r="N3" s="498"/>
      <c r="O3" s="498"/>
      <c r="P3" s="498"/>
      <c r="Q3" s="499"/>
    </row>
    <row r="4" spans="1:18" s="206" customFormat="1" x14ac:dyDescent="0.2">
      <c r="A4" s="497"/>
      <c r="B4" s="502" t="s">
        <v>166</v>
      </c>
      <c r="C4" s="502" t="s">
        <v>167</v>
      </c>
      <c r="D4" s="502" t="s">
        <v>168</v>
      </c>
      <c r="E4" s="502" t="s">
        <v>169</v>
      </c>
      <c r="F4" s="498"/>
      <c r="G4" s="498"/>
      <c r="H4" s="498"/>
      <c r="I4" s="498"/>
      <c r="J4" s="498"/>
      <c r="K4" s="498"/>
      <c r="L4" s="498"/>
      <c r="M4" s="498"/>
      <c r="N4" s="498"/>
      <c r="O4" s="498"/>
      <c r="P4" s="498"/>
      <c r="Q4" s="499"/>
    </row>
    <row r="5" spans="1:18" ht="41.25" x14ac:dyDescent="0.2">
      <c r="A5" s="497"/>
      <c r="B5" s="502"/>
      <c r="C5" s="502"/>
      <c r="D5" s="502"/>
      <c r="E5" s="503"/>
      <c r="F5" s="222" t="s">
        <v>136</v>
      </c>
      <c r="G5" s="222" t="s">
        <v>126</v>
      </c>
      <c r="H5" s="222" t="s">
        <v>127</v>
      </c>
      <c r="I5" s="222" t="s">
        <v>128</v>
      </c>
      <c r="J5" s="222" t="s">
        <v>129</v>
      </c>
      <c r="K5" s="223" t="str">
        <f>'EK DERS ÇİZELGESİ'!AD2</f>
        <v>ŞUBAT</v>
      </c>
      <c r="L5" s="222" t="s">
        <v>131</v>
      </c>
      <c r="M5" s="222" t="s">
        <v>132</v>
      </c>
      <c r="N5" s="222" t="s">
        <v>137</v>
      </c>
      <c r="O5" s="222" t="s">
        <v>138</v>
      </c>
      <c r="P5" s="222" t="s">
        <v>135</v>
      </c>
      <c r="Q5" s="226" t="s">
        <v>139</v>
      </c>
    </row>
    <row r="6" spans="1:18" ht="14.25" customHeight="1" x14ac:dyDescent="0.2">
      <c r="A6" s="227">
        <f>'BİLGİ GİRİŞİ'!A3</f>
        <v>1</v>
      </c>
      <c r="B6" s="207" t="str">
        <f>CONCATENATE('BİLGİ GİRİŞİ'!B3," ",'BİLGİ GİRİŞİ'!C3)</f>
        <v>ESRA GÜMÜŞ</v>
      </c>
      <c r="C6" s="208">
        <f>'BİLGİ GİRİŞİ'!J3</f>
        <v>50</v>
      </c>
      <c r="D6" s="209">
        <f>ROUND(($C$2*C6)/100,2)</f>
        <v>30024</v>
      </c>
      <c r="E6" s="219">
        <f>ROUND((D6*0.15)/12,2)</f>
        <v>375.3</v>
      </c>
      <c r="F6" s="221">
        <f>'BİLGİ GİRİŞİ'!K3</f>
        <v>375.3</v>
      </c>
      <c r="G6" s="221">
        <f>'BİLGİ GİRİŞİ'!L3</f>
        <v>0</v>
      </c>
      <c r="H6" s="221">
        <f>'BİLGİ GİRİŞİ'!M3</f>
        <v>0</v>
      </c>
      <c r="I6" s="221">
        <f>'BİLGİ GİRİŞİ'!N3</f>
        <v>0</v>
      </c>
      <c r="J6" s="221">
        <f>'BİLGİ GİRİŞİ'!O3</f>
        <v>0</v>
      </c>
      <c r="K6" s="211">
        <f>BORDRO!AB8</f>
        <v>0</v>
      </c>
      <c r="L6" s="220">
        <f>'BİLGİ GİRİŞİ'!Q3</f>
        <v>0</v>
      </c>
      <c r="M6" s="220">
        <f>'BİLGİ GİRİŞİ'!R3</f>
        <v>0</v>
      </c>
      <c r="N6" s="220">
        <f>'BİLGİ GİRİŞİ'!S3</f>
        <v>0</v>
      </c>
      <c r="O6" s="220">
        <f>'BİLGİ GİRİŞİ'!T3</f>
        <v>0</v>
      </c>
      <c r="P6" s="220"/>
      <c r="Q6" s="228"/>
      <c r="R6" s="212"/>
    </row>
    <row r="7" spans="1:18" ht="14.25" customHeight="1" x14ac:dyDescent="0.2">
      <c r="A7" s="227">
        <f>'BİLGİ GİRİŞİ'!A4</f>
        <v>2</v>
      </c>
      <c r="B7" s="207" t="str">
        <f>CONCATENATE('BİLGİ GİRİŞİ'!B4," ",'BİLGİ GİRİŞİ'!C4)</f>
        <v>ŞERİFE GÜNAL</v>
      </c>
      <c r="C7" s="208">
        <f>'BİLGİ GİRİŞİ'!J4</f>
        <v>50</v>
      </c>
      <c r="D7" s="209">
        <f t="shared" ref="D7:D8" si="0">ROUND(($C$2*C7)/100,2)</f>
        <v>30024</v>
      </c>
      <c r="E7" s="219">
        <f t="shared" ref="E7:E10" si="1">ROUND((D7*0.15)/12,2)</f>
        <v>375.3</v>
      </c>
      <c r="F7" s="221">
        <f>'BİLGİ GİRİŞİ'!K4</f>
        <v>220.72499999999999</v>
      </c>
      <c r="G7" s="221">
        <f>'BİLGİ GİRİŞİ'!L4</f>
        <v>0</v>
      </c>
      <c r="H7" s="221">
        <f>'BİLGİ GİRİŞİ'!M4</f>
        <v>0</v>
      </c>
      <c r="I7" s="221">
        <f>'BİLGİ GİRİŞİ'!N4</f>
        <v>0</v>
      </c>
      <c r="J7" s="221">
        <f>'BİLGİ GİRİŞİ'!O4</f>
        <v>0</v>
      </c>
      <c r="K7" s="211">
        <f>BORDRO!AB9</f>
        <v>0</v>
      </c>
      <c r="L7" s="220">
        <f>'BİLGİ GİRİŞİ'!Q4</f>
        <v>0</v>
      </c>
      <c r="M7" s="220">
        <f>'BİLGİ GİRİŞİ'!R4</f>
        <v>0</v>
      </c>
      <c r="N7" s="220">
        <f>'BİLGİ GİRİŞİ'!S4</f>
        <v>0</v>
      </c>
      <c r="O7" s="220">
        <f>'BİLGİ GİRİŞİ'!T4</f>
        <v>0</v>
      </c>
      <c r="P7" s="220"/>
      <c r="Q7" s="228"/>
      <c r="R7" s="212"/>
    </row>
    <row r="8" spans="1:18" ht="14.25" customHeight="1" x14ac:dyDescent="0.2">
      <c r="A8" s="227">
        <f>'BİLGİ GİRİŞİ'!A5</f>
        <v>3</v>
      </c>
      <c r="B8" s="207" t="str">
        <f>CONCATENATE('BİLGİ GİRİŞİ'!B5," ",'BİLGİ GİRİŞİ'!C5)</f>
        <v>HATİCE SUCU</v>
      </c>
      <c r="C8" s="208">
        <f>'BİLGİ GİRİŞİ'!J5</f>
        <v>50</v>
      </c>
      <c r="D8" s="209">
        <f t="shared" si="0"/>
        <v>30024</v>
      </c>
      <c r="E8" s="219">
        <f t="shared" si="1"/>
        <v>375.3</v>
      </c>
      <c r="F8" s="221">
        <f>'BİLGİ GİRİŞİ'!K5</f>
        <v>220.72499999999999</v>
      </c>
      <c r="G8" s="221">
        <f>'BİLGİ GİRİŞİ'!L5</f>
        <v>0</v>
      </c>
      <c r="H8" s="221">
        <f>'BİLGİ GİRİŞİ'!M5</f>
        <v>0</v>
      </c>
      <c r="I8" s="221">
        <f>'BİLGİ GİRİŞİ'!N5</f>
        <v>0</v>
      </c>
      <c r="J8" s="221">
        <f>'BİLGİ GİRİŞİ'!O5</f>
        <v>0</v>
      </c>
      <c r="K8" s="211">
        <f>BORDRO!AB10</f>
        <v>0</v>
      </c>
      <c r="L8" s="220">
        <f>'BİLGİ GİRİŞİ'!Q5</f>
        <v>0</v>
      </c>
      <c r="M8" s="220">
        <f>'BİLGİ GİRİŞİ'!R5</f>
        <v>0</v>
      </c>
      <c r="N8" s="220">
        <f>'BİLGİ GİRİŞİ'!S5</f>
        <v>0</v>
      </c>
      <c r="O8" s="220">
        <f>'BİLGİ GİRİŞİ'!T5</f>
        <v>0</v>
      </c>
      <c r="P8" s="220"/>
      <c r="Q8" s="228"/>
    </row>
    <row r="9" spans="1:18" ht="14.25" customHeight="1" x14ac:dyDescent="0.2">
      <c r="A9" s="227">
        <f>'BİLGİ GİRİŞİ'!A6</f>
        <v>4</v>
      </c>
      <c r="B9" s="207" t="str">
        <f>CONCATENATE('BİLGİ GİRİŞİ'!B6," ",'BİLGİ GİRİŞİ'!C6)</f>
        <v>YASİN DAYANKAÇ</v>
      </c>
      <c r="C9" s="208">
        <f>'BİLGİ GİRİŞİ'!J6</f>
        <v>50</v>
      </c>
      <c r="D9" s="209">
        <f t="shared" ref="D9:D10" si="2">ROUND(($C$2*C9)/100,2)</f>
        <v>30024</v>
      </c>
      <c r="E9" s="219">
        <f t="shared" si="1"/>
        <v>375.3</v>
      </c>
      <c r="F9" s="221">
        <f>'BİLGİ GİRİŞİ'!K6</f>
        <v>220.72499999999999</v>
      </c>
      <c r="G9" s="221">
        <f>'BİLGİ GİRİŞİ'!L6</f>
        <v>0</v>
      </c>
      <c r="H9" s="221">
        <f>'BİLGİ GİRİŞİ'!M6</f>
        <v>0</v>
      </c>
      <c r="I9" s="221">
        <f>'BİLGİ GİRİŞİ'!N6</f>
        <v>0</v>
      </c>
      <c r="J9" s="221">
        <f>'BİLGİ GİRİŞİ'!O6</f>
        <v>0</v>
      </c>
      <c r="K9" s="211">
        <f>BORDRO!AB11</f>
        <v>0</v>
      </c>
      <c r="L9" s="221">
        <f>'BİLGİ GİRİŞİ'!Q6</f>
        <v>0</v>
      </c>
      <c r="M9" s="221">
        <f>'BİLGİ GİRİŞİ'!R6</f>
        <v>0</v>
      </c>
      <c r="N9" s="221">
        <f>'BİLGİ GİRİŞİ'!S6</f>
        <v>0</v>
      </c>
      <c r="O9" s="221">
        <f>'BİLGİ GİRİŞİ'!T6</f>
        <v>0</v>
      </c>
      <c r="P9" s="220"/>
      <c r="Q9" s="228"/>
    </row>
    <row r="10" spans="1:18" ht="14.25" customHeight="1" x14ac:dyDescent="0.2">
      <c r="A10" s="227">
        <f>'BİLGİ GİRİŞİ'!A7</f>
        <v>5</v>
      </c>
      <c r="B10" s="207" t="str">
        <f>CONCATENATE('BİLGİ GİRİŞİ'!B7," ",'BİLGİ GİRİŞİ'!C7)</f>
        <v>REFİYE RANA TOK</v>
      </c>
      <c r="C10" s="208">
        <f>'BİLGİ GİRİŞİ'!J7</f>
        <v>50</v>
      </c>
      <c r="D10" s="209">
        <f t="shared" si="2"/>
        <v>30024</v>
      </c>
      <c r="E10" s="219">
        <f t="shared" si="1"/>
        <v>375.3</v>
      </c>
      <c r="F10" s="221">
        <f>'BİLGİ GİRİŞİ'!K7</f>
        <v>220.72499999999999</v>
      </c>
      <c r="G10" s="221">
        <f>'BİLGİ GİRİŞİ'!L7</f>
        <v>0</v>
      </c>
      <c r="H10" s="221">
        <f>'BİLGİ GİRİŞİ'!M7</f>
        <v>0</v>
      </c>
      <c r="I10" s="221">
        <f>'BİLGİ GİRİŞİ'!N7</f>
        <v>0</v>
      </c>
      <c r="J10" s="221">
        <f>'BİLGİ GİRİŞİ'!O7</f>
        <v>0</v>
      </c>
      <c r="K10" s="211">
        <f>BORDRO!AB12</f>
        <v>0</v>
      </c>
      <c r="L10" s="221">
        <f>'BİLGİ GİRİŞİ'!Q7</f>
        <v>0</v>
      </c>
      <c r="M10" s="221">
        <f>'BİLGİ GİRİŞİ'!R7</f>
        <v>0</v>
      </c>
      <c r="N10" s="221">
        <f>'BİLGİ GİRİŞİ'!S7</f>
        <v>0</v>
      </c>
      <c r="O10" s="221">
        <f>'BİLGİ GİRİŞİ'!T7</f>
        <v>0</v>
      </c>
      <c r="P10" s="220"/>
      <c r="Q10" s="228"/>
    </row>
    <row r="11" spans="1:18" ht="14.25" customHeight="1" x14ac:dyDescent="0.2">
      <c r="A11" s="227">
        <f>'BİLGİ GİRİŞİ'!A8</f>
        <v>6</v>
      </c>
      <c r="B11" s="213" t="str">
        <f>CONCATENATE('BİLGİ GİRİŞİ'!B8," ",'BİLGİ GİRİŞİ'!C8)</f>
        <v>YUSUF ARABACI</v>
      </c>
      <c r="C11" s="214"/>
      <c r="D11" s="210"/>
      <c r="E11" s="218"/>
      <c r="F11" s="221"/>
      <c r="G11" s="221"/>
      <c r="H11" s="221"/>
      <c r="I11" s="221"/>
      <c r="J11" s="221"/>
      <c r="K11" s="210"/>
      <c r="L11" s="221"/>
      <c r="M11" s="221"/>
      <c r="N11" s="221"/>
      <c r="O11" s="221"/>
      <c r="P11" s="220"/>
      <c r="Q11" s="228"/>
    </row>
    <row r="12" spans="1:18" ht="14.25" customHeight="1" x14ac:dyDescent="0.2">
      <c r="A12" s="227">
        <f>'BİLGİ GİRİŞİ'!A9</f>
        <v>7</v>
      </c>
      <c r="B12" s="213" t="str">
        <f>CONCATENATE('BİLGİ GİRİŞİ'!B9," ",'BİLGİ GİRİŞİ'!C9)</f>
        <v>ASLI ÜSTELİK</v>
      </c>
      <c r="C12" s="214"/>
      <c r="D12" s="210"/>
      <c r="E12" s="218"/>
      <c r="F12" s="221"/>
      <c r="G12" s="221"/>
      <c r="H12" s="221"/>
      <c r="I12" s="221"/>
      <c r="J12" s="221"/>
      <c r="K12" s="210"/>
      <c r="L12" s="221"/>
      <c r="M12" s="221"/>
      <c r="N12" s="221"/>
      <c r="O12" s="221"/>
      <c r="P12" s="220"/>
      <c r="Q12" s="228"/>
    </row>
    <row r="13" spans="1:18" ht="14.25" customHeight="1" x14ac:dyDescent="0.2">
      <c r="A13" s="227">
        <f>'BİLGİ GİRİŞİ'!A10</f>
        <v>8</v>
      </c>
      <c r="B13" s="213" t="str">
        <f>CONCATENATE('BİLGİ GİRİŞİ'!B10," ",'BİLGİ GİRİŞİ'!C10)</f>
        <v xml:space="preserve"> </v>
      </c>
      <c r="C13" s="214"/>
      <c r="D13" s="210"/>
      <c r="E13" s="218"/>
      <c r="F13" s="221"/>
      <c r="G13" s="221"/>
      <c r="H13" s="221"/>
      <c r="I13" s="221"/>
      <c r="J13" s="221"/>
      <c r="K13" s="210"/>
      <c r="L13" s="221"/>
      <c r="M13" s="221"/>
      <c r="N13" s="221"/>
      <c r="O13" s="221"/>
      <c r="P13" s="220"/>
      <c r="Q13" s="228"/>
    </row>
    <row r="14" spans="1:18" ht="14.25" customHeight="1" x14ac:dyDescent="0.2">
      <c r="A14" s="227">
        <f>'BİLGİ GİRİŞİ'!A11</f>
        <v>9</v>
      </c>
      <c r="B14" s="207" t="str">
        <f>CONCATENATE('BİLGİ GİRİŞİ'!B11," ",'BİLGİ GİRİŞİ'!C11)</f>
        <v xml:space="preserve"> </v>
      </c>
      <c r="C14" s="208"/>
      <c r="D14" s="209"/>
      <c r="E14" s="219"/>
      <c r="F14" s="221"/>
      <c r="G14" s="221"/>
      <c r="H14" s="221"/>
      <c r="I14" s="221"/>
      <c r="J14" s="221"/>
      <c r="K14" s="209"/>
      <c r="L14" s="220"/>
      <c r="M14" s="220"/>
      <c r="N14" s="220"/>
      <c r="O14" s="220"/>
      <c r="P14" s="220"/>
      <c r="Q14" s="228"/>
    </row>
    <row r="15" spans="1:18" ht="14.25" hidden="1" customHeight="1" x14ac:dyDescent="0.2">
      <c r="A15" s="227">
        <f>'BİLGİ GİRİŞİ'!A12</f>
        <v>10</v>
      </c>
      <c r="B15" s="207" t="str">
        <f>CONCATENATE('BİLGİ GİRİŞİ'!B12," ",'BİLGİ GİRİŞİ'!C12)</f>
        <v xml:space="preserve"> </v>
      </c>
      <c r="C15" s="208">
        <f>'BİLGİ GİRİŞİ'!J12</f>
        <v>0</v>
      </c>
      <c r="D15" s="209">
        <f t="shared" ref="D15:D53" si="3">ROUND(($C$2*C15)/100,2)</f>
        <v>0</v>
      </c>
      <c r="E15" s="219">
        <f t="shared" ref="E15:E53" si="4">ROUND((D15*0.15)/12,2)</f>
        <v>0</v>
      </c>
      <c r="F15" s="221"/>
      <c r="G15" s="221"/>
      <c r="H15" s="221"/>
      <c r="I15" s="221"/>
      <c r="J15" s="221"/>
      <c r="K15" s="209"/>
      <c r="L15" s="220"/>
      <c r="M15" s="220"/>
      <c r="N15" s="220"/>
      <c r="O15" s="220"/>
      <c r="P15" s="220"/>
      <c r="Q15" s="228"/>
    </row>
    <row r="16" spans="1:18" ht="14.25" hidden="1" customHeight="1" x14ac:dyDescent="0.2">
      <c r="A16" s="227">
        <f>'BİLGİ GİRİŞİ'!A13</f>
        <v>11</v>
      </c>
      <c r="B16" s="207" t="str">
        <f>CONCATENATE('BİLGİ GİRİŞİ'!B13," ",'BİLGİ GİRİŞİ'!C13)</f>
        <v xml:space="preserve"> </v>
      </c>
      <c r="C16" s="208">
        <f>'BİLGİ GİRİŞİ'!J13</f>
        <v>0</v>
      </c>
      <c r="D16" s="209">
        <f t="shared" si="3"/>
        <v>0</v>
      </c>
      <c r="E16" s="219">
        <f t="shared" si="4"/>
        <v>0</v>
      </c>
      <c r="F16" s="221"/>
      <c r="G16" s="221"/>
      <c r="H16" s="221"/>
      <c r="I16" s="221"/>
      <c r="J16" s="221"/>
      <c r="K16" s="209"/>
      <c r="L16" s="220"/>
      <c r="M16" s="220"/>
      <c r="N16" s="220"/>
      <c r="O16" s="220"/>
      <c r="P16" s="220"/>
      <c r="Q16" s="228"/>
    </row>
    <row r="17" spans="1:17" ht="14.25" hidden="1" customHeight="1" x14ac:dyDescent="0.2">
      <c r="A17" s="227">
        <f>'BİLGİ GİRİŞİ'!A14</f>
        <v>12</v>
      </c>
      <c r="B17" s="207" t="str">
        <f>CONCATENATE('BİLGİ GİRİŞİ'!B14," ",'BİLGİ GİRİŞİ'!C14)</f>
        <v xml:space="preserve"> </v>
      </c>
      <c r="C17" s="208">
        <f>'BİLGİ GİRİŞİ'!J14</f>
        <v>0</v>
      </c>
      <c r="D17" s="209">
        <f t="shared" si="3"/>
        <v>0</v>
      </c>
      <c r="E17" s="219">
        <f t="shared" si="4"/>
        <v>0</v>
      </c>
      <c r="F17" s="221"/>
      <c r="G17" s="221"/>
      <c r="H17" s="221"/>
      <c r="I17" s="221"/>
      <c r="J17" s="221"/>
      <c r="K17" s="209"/>
      <c r="L17" s="220"/>
      <c r="M17" s="220"/>
      <c r="N17" s="220"/>
      <c r="O17" s="220"/>
      <c r="P17" s="220"/>
      <c r="Q17" s="228"/>
    </row>
    <row r="18" spans="1:17" ht="14.25" hidden="1" customHeight="1" x14ac:dyDescent="0.2">
      <c r="A18" s="227">
        <f>'BİLGİ GİRİŞİ'!A15</f>
        <v>13</v>
      </c>
      <c r="B18" s="207" t="str">
        <f>CONCATENATE('BİLGİ GİRİŞİ'!B15," ",'BİLGİ GİRİŞİ'!C15)</f>
        <v xml:space="preserve"> </v>
      </c>
      <c r="C18" s="208">
        <f>'BİLGİ GİRİŞİ'!J15</f>
        <v>0</v>
      </c>
      <c r="D18" s="209">
        <f t="shared" si="3"/>
        <v>0</v>
      </c>
      <c r="E18" s="219">
        <f t="shared" si="4"/>
        <v>0</v>
      </c>
      <c r="F18" s="221"/>
      <c r="G18" s="221"/>
      <c r="H18" s="221"/>
      <c r="I18" s="221"/>
      <c r="J18" s="221"/>
      <c r="K18" s="209"/>
      <c r="L18" s="220"/>
      <c r="M18" s="220"/>
      <c r="N18" s="220"/>
      <c r="O18" s="220"/>
      <c r="P18" s="220"/>
      <c r="Q18" s="228"/>
    </row>
    <row r="19" spans="1:17" ht="14.25" hidden="1" customHeight="1" x14ac:dyDescent="0.2">
      <c r="A19" s="227">
        <f>'BİLGİ GİRİŞİ'!A16</f>
        <v>14</v>
      </c>
      <c r="B19" s="207" t="str">
        <f>CONCATENATE('BİLGİ GİRİŞİ'!B16," ",'BİLGİ GİRİŞİ'!C16)</f>
        <v xml:space="preserve"> </v>
      </c>
      <c r="C19" s="208">
        <f>'BİLGİ GİRİŞİ'!J16</f>
        <v>0</v>
      </c>
      <c r="D19" s="209">
        <f t="shared" si="3"/>
        <v>0</v>
      </c>
      <c r="E19" s="219">
        <f t="shared" si="4"/>
        <v>0</v>
      </c>
      <c r="F19" s="221"/>
      <c r="G19" s="221"/>
      <c r="H19" s="221"/>
      <c r="I19" s="221"/>
      <c r="J19" s="221"/>
      <c r="K19" s="209"/>
      <c r="L19" s="220"/>
      <c r="M19" s="220"/>
      <c r="N19" s="220"/>
      <c r="O19" s="220"/>
      <c r="P19" s="220"/>
      <c r="Q19" s="228"/>
    </row>
    <row r="20" spans="1:17" ht="14.25" hidden="1" customHeight="1" x14ac:dyDescent="0.2">
      <c r="A20" s="227">
        <f>'BİLGİ GİRİŞİ'!A17</f>
        <v>15</v>
      </c>
      <c r="B20" s="207" t="str">
        <f>CONCATENATE('BİLGİ GİRİŞİ'!B17," ",'BİLGİ GİRİŞİ'!C17)</f>
        <v xml:space="preserve"> </v>
      </c>
      <c r="C20" s="208">
        <f>'BİLGİ GİRİŞİ'!J17</f>
        <v>0</v>
      </c>
      <c r="D20" s="209">
        <f t="shared" si="3"/>
        <v>0</v>
      </c>
      <c r="E20" s="219">
        <f t="shared" si="4"/>
        <v>0</v>
      </c>
      <c r="F20" s="221"/>
      <c r="G20" s="221"/>
      <c r="H20" s="221"/>
      <c r="I20" s="221"/>
      <c r="J20" s="221"/>
      <c r="K20" s="209"/>
      <c r="L20" s="220"/>
      <c r="M20" s="220"/>
      <c r="N20" s="220"/>
      <c r="O20" s="220"/>
      <c r="P20" s="220"/>
      <c r="Q20" s="228"/>
    </row>
    <row r="21" spans="1:17" ht="14.25" hidden="1" customHeight="1" x14ac:dyDescent="0.2">
      <c r="A21" s="227">
        <f>'BİLGİ GİRİŞİ'!A18</f>
        <v>16</v>
      </c>
      <c r="B21" s="207" t="str">
        <f>CONCATENATE('BİLGİ GİRİŞİ'!B18," ",'BİLGİ GİRİŞİ'!C18)</f>
        <v xml:space="preserve"> </v>
      </c>
      <c r="C21" s="208">
        <f>'BİLGİ GİRİŞİ'!J18</f>
        <v>0</v>
      </c>
      <c r="D21" s="209">
        <f t="shared" si="3"/>
        <v>0</v>
      </c>
      <c r="E21" s="219">
        <f t="shared" si="4"/>
        <v>0</v>
      </c>
      <c r="F21" s="221"/>
      <c r="G21" s="221"/>
      <c r="H21" s="221"/>
      <c r="I21" s="221"/>
      <c r="J21" s="221"/>
      <c r="K21" s="209"/>
      <c r="L21" s="220"/>
      <c r="M21" s="220"/>
      <c r="N21" s="220"/>
      <c r="O21" s="220"/>
      <c r="P21" s="220"/>
      <c r="Q21" s="228"/>
    </row>
    <row r="22" spans="1:17" ht="14.25" hidden="1" customHeight="1" x14ac:dyDescent="0.2">
      <c r="A22" s="227">
        <f>'BİLGİ GİRİŞİ'!A19</f>
        <v>17</v>
      </c>
      <c r="B22" s="207" t="str">
        <f>CONCATENATE('BİLGİ GİRİŞİ'!B19," ",'BİLGİ GİRİŞİ'!C19)</f>
        <v xml:space="preserve"> </v>
      </c>
      <c r="C22" s="208">
        <f>'BİLGİ GİRİŞİ'!J19</f>
        <v>0</v>
      </c>
      <c r="D22" s="209">
        <f t="shared" si="3"/>
        <v>0</v>
      </c>
      <c r="E22" s="219">
        <f t="shared" si="4"/>
        <v>0</v>
      </c>
      <c r="F22" s="221"/>
      <c r="G22" s="221"/>
      <c r="H22" s="221"/>
      <c r="I22" s="221"/>
      <c r="J22" s="221"/>
      <c r="K22" s="209"/>
      <c r="L22" s="220"/>
      <c r="M22" s="220"/>
      <c r="N22" s="220"/>
      <c r="O22" s="220"/>
      <c r="P22" s="220"/>
      <c r="Q22" s="228"/>
    </row>
    <row r="23" spans="1:17" ht="14.25" hidden="1" customHeight="1" x14ac:dyDescent="0.2">
      <c r="A23" s="227">
        <f>'BİLGİ GİRİŞİ'!A20</f>
        <v>18</v>
      </c>
      <c r="B23" s="207" t="str">
        <f>CONCATENATE('BİLGİ GİRİŞİ'!B20," ",'BİLGİ GİRİŞİ'!C20)</f>
        <v xml:space="preserve"> </v>
      </c>
      <c r="C23" s="208">
        <f>'BİLGİ GİRİŞİ'!J20</f>
        <v>0</v>
      </c>
      <c r="D23" s="209">
        <f t="shared" si="3"/>
        <v>0</v>
      </c>
      <c r="E23" s="219">
        <f t="shared" si="4"/>
        <v>0</v>
      </c>
      <c r="F23" s="221"/>
      <c r="G23" s="221"/>
      <c r="H23" s="221"/>
      <c r="I23" s="221"/>
      <c r="J23" s="221"/>
      <c r="K23" s="209"/>
      <c r="L23" s="220"/>
      <c r="M23" s="220"/>
      <c r="N23" s="220"/>
      <c r="O23" s="220"/>
      <c r="P23" s="220"/>
      <c r="Q23" s="228"/>
    </row>
    <row r="24" spans="1:17" ht="14.25" hidden="1" customHeight="1" x14ac:dyDescent="0.2">
      <c r="A24" s="227">
        <f>'BİLGİ GİRİŞİ'!A21</f>
        <v>19</v>
      </c>
      <c r="B24" s="207" t="str">
        <f>CONCATENATE('BİLGİ GİRİŞİ'!B21," ",'BİLGİ GİRİŞİ'!C21)</f>
        <v xml:space="preserve"> </v>
      </c>
      <c r="C24" s="208">
        <f>'BİLGİ GİRİŞİ'!J21</f>
        <v>0</v>
      </c>
      <c r="D24" s="209">
        <f t="shared" si="3"/>
        <v>0</v>
      </c>
      <c r="E24" s="219">
        <f t="shared" si="4"/>
        <v>0</v>
      </c>
      <c r="F24" s="221"/>
      <c r="G24" s="221"/>
      <c r="H24" s="221"/>
      <c r="I24" s="221"/>
      <c r="J24" s="221"/>
      <c r="K24" s="209"/>
      <c r="L24" s="220"/>
      <c r="M24" s="220"/>
      <c r="N24" s="220"/>
      <c r="O24" s="220"/>
      <c r="P24" s="220"/>
      <c r="Q24" s="228"/>
    </row>
    <row r="25" spans="1:17" ht="14.25" hidden="1" customHeight="1" x14ac:dyDescent="0.2">
      <c r="A25" s="227">
        <f>'BİLGİ GİRİŞİ'!A22</f>
        <v>20</v>
      </c>
      <c r="B25" s="207" t="str">
        <f>CONCATENATE('BİLGİ GİRİŞİ'!B22," ",'BİLGİ GİRİŞİ'!C22)</f>
        <v xml:space="preserve"> </v>
      </c>
      <c r="C25" s="208">
        <f>'BİLGİ GİRİŞİ'!J22</f>
        <v>0</v>
      </c>
      <c r="D25" s="209">
        <f t="shared" si="3"/>
        <v>0</v>
      </c>
      <c r="E25" s="219">
        <f t="shared" si="4"/>
        <v>0</v>
      </c>
      <c r="F25" s="221"/>
      <c r="G25" s="221"/>
      <c r="H25" s="221"/>
      <c r="I25" s="221"/>
      <c r="J25" s="221"/>
      <c r="K25" s="209"/>
      <c r="L25" s="220"/>
      <c r="M25" s="220"/>
      <c r="N25" s="220"/>
      <c r="O25" s="220"/>
      <c r="P25" s="220"/>
      <c r="Q25" s="228"/>
    </row>
    <row r="26" spans="1:17" ht="14.25" hidden="1" customHeight="1" x14ac:dyDescent="0.2">
      <c r="A26" s="227">
        <f>'BİLGİ GİRİŞİ'!A23</f>
        <v>21</v>
      </c>
      <c r="B26" s="207" t="str">
        <f>CONCATENATE('BİLGİ GİRİŞİ'!B23," ",'BİLGİ GİRİŞİ'!C23)</f>
        <v xml:space="preserve"> </v>
      </c>
      <c r="C26" s="208">
        <f>'BİLGİ GİRİŞİ'!J23</f>
        <v>0</v>
      </c>
      <c r="D26" s="209">
        <f t="shared" si="3"/>
        <v>0</v>
      </c>
      <c r="E26" s="219">
        <f t="shared" si="4"/>
        <v>0</v>
      </c>
      <c r="F26" s="221"/>
      <c r="G26" s="221"/>
      <c r="H26" s="221"/>
      <c r="I26" s="221"/>
      <c r="J26" s="221"/>
      <c r="K26" s="209"/>
      <c r="L26" s="220"/>
      <c r="M26" s="220"/>
      <c r="N26" s="220"/>
      <c r="O26" s="220"/>
      <c r="P26" s="220"/>
      <c r="Q26" s="228"/>
    </row>
    <row r="27" spans="1:17" ht="14.25" hidden="1" customHeight="1" x14ac:dyDescent="0.2">
      <c r="A27" s="227">
        <f>'BİLGİ GİRİŞİ'!A24</f>
        <v>22</v>
      </c>
      <c r="B27" s="207" t="str">
        <f>CONCATENATE('BİLGİ GİRİŞİ'!B24," ",'BİLGİ GİRİŞİ'!C24)</f>
        <v xml:space="preserve"> </v>
      </c>
      <c r="C27" s="208">
        <f>'BİLGİ GİRİŞİ'!J24</f>
        <v>0</v>
      </c>
      <c r="D27" s="209">
        <f t="shared" si="3"/>
        <v>0</v>
      </c>
      <c r="E27" s="219">
        <f t="shared" si="4"/>
        <v>0</v>
      </c>
      <c r="F27" s="221"/>
      <c r="G27" s="221"/>
      <c r="H27" s="221"/>
      <c r="I27" s="221"/>
      <c r="J27" s="221"/>
      <c r="K27" s="209"/>
      <c r="L27" s="220"/>
      <c r="M27" s="220"/>
      <c r="N27" s="220"/>
      <c r="O27" s="220"/>
      <c r="P27" s="220"/>
      <c r="Q27" s="228"/>
    </row>
    <row r="28" spans="1:17" ht="14.25" hidden="1" customHeight="1" x14ac:dyDescent="0.2">
      <c r="A28" s="227">
        <f>'BİLGİ GİRİŞİ'!A25</f>
        <v>23</v>
      </c>
      <c r="B28" s="207" t="str">
        <f>CONCATENATE('BİLGİ GİRİŞİ'!B25," ",'BİLGİ GİRİŞİ'!C25)</f>
        <v xml:space="preserve"> </v>
      </c>
      <c r="C28" s="208">
        <f>'BİLGİ GİRİŞİ'!J25</f>
        <v>0</v>
      </c>
      <c r="D28" s="209">
        <f t="shared" si="3"/>
        <v>0</v>
      </c>
      <c r="E28" s="219">
        <f t="shared" si="4"/>
        <v>0</v>
      </c>
      <c r="F28" s="221"/>
      <c r="G28" s="221"/>
      <c r="H28" s="221"/>
      <c r="I28" s="221"/>
      <c r="J28" s="221"/>
      <c r="K28" s="209"/>
      <c r="L28" s="220"/>
      <c r="M28" s="220"/>
      <c r="N28" s="220"/>
      <c r="O28" s="220"/>
      <c r="P28" s="220"/>
      <c r="Q28" s="228"/>
    </row>
    <row r="29" spans="1:17" ht="14.25" hidden="1" customHeight="1" x14ac:dyDescent="0.2">
      <c r="A29" s="227">
        <f>'BİLGİ GİRİŞİ'!A26</f>
        <v>24</v>
      </c>
      <c r="B29" s="207" t="str">
        <f>CONCATENATE('BİLGİ GİRİŞİ'!B26," ",'BİLGİ GİRİŞİ'!C26)</f>
        <v xml:space="preserve"> </v>
      </c>
      <c r="C29" s="208">
        <f>'BİLGİ GİRİŞİ'!J26</f>
        <v>0</v>
      </c>
      <c r="D29" s="209">
        <f t="shared" si="3"/>
        <v>0</v>
      </c>
      <c r="E29" s="219">
        <f t="shared" si="4"/>
        <v>0</v>
      </c>
      <c r="F29" s="221"/>
      <c r="G29" s="221"/>
      <c r="H29" s="221"/>
      <c r="I29" s="221"/>
      <c r="J29" s="221"/>
      <c r="K29" s="209"/>
      <c r="L29" s="220"/>
      <c r="M29" s="220"/>
      <c r="N29" s="220"/>
      <c r="O29" s="220"/>
      <c r="P29" s="220"/>
      <c r="Q29" s="228"/>
    </row>
    <row r="30" spans="1:17" ht="14.25" hidden="1" customHeight="1" x14ac:dyDescent="0.2">
      <c r="A30" s="227">
        <f>'BİLGİ GİRİŞİ'!A27</f>
        <v>25</v>
      </c>
      <c r="B30" s="207" t="str">
        <f>CONCATENATE('BİLGİ GİRİŞİ'!B27," ",'BİLGİ GİRİŞİ'!C27)</f>
        <v xml:space="preserve"> </v>
      </c>
      <c r="C30" s="208">
        <f>'BİLGİ GİRİŞİ'!J27</f>
        <v>0</v>
      </c>
      <c r="D30" s="209">
        <f t="shared" si="3"/>
        <v>0</v>
      </c>
      <c r="E30" s="219">
        <f t="shared" si="4"/>
        <v>0</v>
      </c>
      <c r="F30" s="221"/>
      <c r="G30" s="221"/>
      <c r="H30" s="221"/>
      <c r="I30" s="221"/>
      <c r="J30" s="221"/>
      <c r="K30" s="209"/>
      <c r="L30" s="220"/>
      <c r="M30" s="220"/>
      <c r="N30" s="220"/>
      <c r="O30" s="220"/>
      <c r="P30" s="220"/>
      <c r="Q30" s="228"/>
    </row>
    <row r="31" spans="1:17" ht="14.25" hidden="1" customHeight="1" x14ac:dyDescent="0.2">
      <c r="A31" s="227">
        <f>'BİLGİ GİRİŞİ'!A28</f>
        <v>26</v>
      </c>
      <c r="B31" s="207" t="str">
        <f>CONCATENATE('BİLGİ GİRİŞİ'!B28," ",'BİLGİ GİRİŞİ'!C28)</f>
        <v xml:space="preserve"> </v>
      </c>
      <c r="C31" s="208">
        <f>'BİLGİ GİRİŞİ'!J28</f>
        <v>0</v>
      </c>
      <c r="D31" s="209">
        <f t="shared" si="3"/>
        <v>0</v>
      </c>
      <c r="E31" s="219">
        <f t="shared" si="4"/>
        <v>0</v>
      </c>
      <c r="F31" s="221"/>
      <c r="G31" s="221"/>
      <c r="H31" s="221"/>
      <c r="I31" s="221"/>
      <c r="J31" s="221"/>
      <c r="K31" s="209"/>
      <c r="L31" s="220"/>
      <c r="M31" s="220"/>
      <c r="N31" s="220"/>
      <c r="O31" s="220"/>
      <c r="P31" s="220"/>
      <c r="Q31" s="228"/>
    </row>
    <row r="32" spans="1:17" ht="14.25" hidden="1" customHeight="1" x14ac:dyDescent="0.2">
      <c r="A32" s="227">
        <f>'BİLGİ GİRİŞİ'!A29</f>
        <v>27</v>
      </c>
      <c r="B32" s="207" t="str">
        <f>CONCATENATE('BİLGİ GİRİŞİ'!B29," ",'BİLGİ GİRİŞİ'!C29)</f>
        <v xml:space="preserve"> </v>
      </c>
      <c r="C32" s="208">
        <f>'BİLGİ GİRİŞİ'!J29</f>
        <v>0</v>
      </c>
      <c r="D32" s="209">
        <f t="shared" si="3"/>
        <v>0</v>
      </c>
      <c r="E32" s="219">
        <f t="shared" si="4"/>
        <v>0</v>
      </c>
      <c r="F32" s="221"/>
      <c r="G32" s="221"/>
      <c r="H32" s="221"/>
      <c r="I32" s="221"/>
      <c r="J32" s="221"/>
      <c r="K32" s="209"/>
      <c r="L32" s="220"/>
      <c r="M32" s="220"/>
      <c r="N32" s="220"/>
      <c r="O32" s="220"/>
      <c r="P32" s="220"/>
      <c r="Q32" s="228"/>
    </row>
    <row r="33" spans="1:17" ht="14.25" hidden="1" customHeight="1" x14ac:dyDescent="0.2">
      <c r="A33" s="227">
        <f>'BİLGİ GİRİŞİ'!A30</f>
        <v>28</v>
      </c>
      <c r="B33" s="207" t="str">
        <f>CONCATENATE('BİLGİ GİRİŞİ'!B30," ",'BİLGİ GİRİŞİ'!C30)</f>
        <v xml:space="preserve"> </v>
      </c>
      <c r="C33" s="208">
        <f>'BİLGİ GİRİŞİ'!J30</f>
        <v>0</v>
      </c>
      <c r="D33" s="209">
        <f t="shared" si="3"/>
        <v>0</v>
      </c>
      <c r="E33" s="219">
        <f t="shared" si="4"/>
        <v>0</v>
      </c>
      <c r="F33" s="221"/>
      <c r="G33" s="221"/>
      <c r="H33" s="221"/>
      <c r="I33" s="221"/>
      <c r="J33" s="221"/>
      <c r="K33" s="209"/>
      <c r="L33" s="220"/>
      <c r="M33" s="220"/>
      <c r="N33" s="220"/>
      <c r="O33" s="220"/>
      <c r="P33" s="220"/>
      <c r="Q33" s="228"/>
    </row>
    <row r="34" spans="1:17" ht="14.25" hidden="1" customHeight="1" x14ac:dyDescent="0.2">
      <c r="A34" s="227">
        <f>'BİLGİ GİRİŞİ'!A31</f>
        <v>29</v>
      </c>
      <c r="B34" s="207" t="str">
        <f>CONCATENATE('BİLGİ GİRİŞİ'!B31," ",'BİLGİ GİRİŞİ'!C31)</f>
        <v xml:space="preserve"> </v>
      </c>
      <c r="C34" s="208">
        <f>'BİLGİ GİRİŞİ'!J31</f>
        <v>0</v>
      </c>
      <c r="D34" s="209">
        <f t="shared" si="3"/>
        <v>0</v>
      </c>
      <c r="E34" s="219">
        <f t="shared" si="4"/>
        <v>0</v>
      </c>
      <c r="F34" s="221"/>
      <c r="G34" s="221"/>
      <c r="H34" s="221"/>
      <c r="I34" s="221"/>
      <c r="J34" s="221"/>
      <c r="K34" s="209"/>
      <c r="L34" s="220"/>
      <c r="M34" s="220"/>
      <c r="N34" s="220"/>
      <c r="O34" s="220"/>
      <c r="P34" s="220"/>
      <c r="Q34" s="228"/>
    </row>
    <row r="35" spans="1:17" ht="14.25" hidden="1" customHeight="1" x14ac:dyDescent="0.2">
      <c r="A35" s="227">
        <f>'BİLGİ GİRİŞİ'!A32</f>
        <v>30</v>
      </c>
      <c r="B35" s="207" t="str">
        <f>CONCATENATE('BİLGİ GİRİŞİ'!B32," ",'BİLGİ GİRİŞİ'!C32)</f>
        <v xml:space="preserve"> </v>
      </c>
      <c r="C35" s="208">
        <f>'BİLGİ GİRİŞİ'!J32</f>
        <v>0</v>
      </c>
      <c r="D35" s="209">
        <f t="shared" si="3"/>
        <v>0</v>
      </c>
      <c r="E35" s="219">
        <f t="shared" si="4"/>
        <v>0</v>
      </c>
      <c r="F35" s="221"/>
      <c r="G35" s="221"/>
      <c r="H35" s="221"/>
      <c r="I35" s="221"/>
      <c r="J35" s="221"/>
      <c r="K35" s="209"/>
      <c r="L35" s="220"/>
      <c r="M35" s="220"/>
      <c r="N35" s="220"/>
      <c r="O35" s="220"/>
      <c r="P35" s="220"/>
      <c r="Q35" s="228"/>
    </row>
    <row r="36" spans="1:17" ht="14.25" hidden="1" customHeight="1" x14ac:dyDescent="0.2">
      <c r="A36" s="227">
        <f>'BİLGİ GİRİŞİ'!A33</f>
        <v>31</v>
      </c>
      <c r="B36" s="207" t="str">
        <f>CONCATENATE('BİLGİ GİRİŞİ'!B33," ",'BİLGİ GİRİŞİ'!C33)</f>
        <v xml:space="preserve"> </v>
      </c>
      <c r="C36" s="208">
        <f>'BİLGİ GİRİŞİ'!J33</f>
        <v>0</v>
      </c>
      <c r="D36" s="209">
        <f t="shared" si="3"/>
        <v>0</v>
      </c>
      <c r="E36" s="219">
        <f t="shared" si="4"/>
        <v>0</v>
      </c>
      <c r="F36" s="221"/>
      <c r="G36" s="221"/>
      <c r="H36" s="221"/>
      <c r="I36" s="221"/>
      <c r="J36" s="221"/>
      <c r="K36" s="209"/>
      <c r="L36" s="220"/>
      <c r="M36" s="220"/>
      <c r="N36" s="220"/>
      <c r="O36" s="220"/>
      <c r="P36" s="220"/>
      <c r="Q36" s="228"/>
    </row>
    <row r="37" spans="1:17" ht="14.25" hidden="1" customHeight="1" x14ac:dyDescent="0.2">
      <c r="A37" s="227">
        <f>'BİLGİ GİRİŞİ'!A34</f>
        <v>32</v>
      </c>
      <c r="B37" s="207" t="str">
        <f>CONCATENATE('BİLGİ GİRİŞİ'!B34," ",'BİLGİ GİRİŞİ'!C34)</f>
        <v xml:space="preserve"> </v>
      </c>
      <c r="C37" s="208">
        <f>'BİLGİ GİRİŞİ'!J34</f>
        <v>0</v>
      </c>
      <c r="D37" s="209">
        <f t="shared" si="3"/>
        <v>0</v>
      </c>
      <c r="E37" s="219">
        <f t="shared" si="4"/>
        <v>0</v>
      </c>
      <c r="F37" s="221"/>
      <c r="G37" s="221"/>
      <c r="H37" s="221"/>
      <c r="I37" s="221"/>
      <c r="J37" s="221"/>
      <c r="K37" s="209"/>
      <c r="L37" s="220"/>
      <c r="M37" s="220"/>
      <c r="N37" s="220"/>
      <c r="O37" s="220"/>
      <c r="P37" s="220"/>
      <c r="Q37" s="228"/>
    </row>
    <row r="38" spans="1:17" ht="14.25" hidden="1" customHeight="1" x14ac:dyDescent="0.2">
      <c r="A38" s="227">
        <f>'BİLGİ GİRİŞİ'!A35</f>
        <v>33</v>
      </c>
      <c r="B38" s="207" t="str">
        <f>CONCATENATE('BİLGİ GİRİŞİ'!B35," ",'BİLGİ GİRİŞİ'!C35)</f>
        <v xml:space="preserve"> </v>
      </c>
      <c r="C38" s="208">
        <f>'BİLGİ GİRİŞİ'!J35</f>
        <v>0</v>
      </c>
      <c r="D38" s="209">
        <f t="shared" si="3"/>
        <v>0</v>
      </c>
      <c r="E38" s="219">
        <f t="shared" si="4"/>
        <v>0</v>
      </c>
      <c r="F38" s="221"/>
      <c r="G38" s="221"/>
      <c r="H38" s="221"/>
      <c r="I38" s="221"/>
      <c r="J38" s="221"/>
      <c r="K38" s="209"/>
      <c r="L38" s="220"/>
      <c r="M38" s="220"/>
      <c r="N38" s="220"/>
      <c r="O38" s="220"/>
      <c r="P38" s="220"/>
      <c r="Q38" s="228"/>
    </row>
    <row r="39" spans="1:17" ht="14.25" hidden="1" customHeight="1" x14ac:dyDescent="0.2">
      <c r="A39" s="227">
        <f>'BİLGİ GİRİŞİ'!A36</f>
        <v>34</v>
      </c>
      <c r="B39" s="207" t="str">
        <f>CONCATENATE('BİLGİ GİRİŞİ'!B36," ",'BİLGİ GİRİŞİ'!C36)</f>
        <v xml:space="preserve"> </v>
      </c>
      <c r="C39" s="208">
        <f>'BİLGİ GİRİŞİ'!J36</f>
        <v>0</v>
      </c>
      <c r="D39" s="209">
        <f t="shared" si="3"/>
        <v>0</v>
      </c>
      <c r="E39" s="219">
        <f t="shared" si="4"/>
        <v>0</v>
      </c>
      <c r="F39" s="221"/>
      <c r="G39" s="221"/>
      <c r="H39" s="221"/>
      <c r="I39" s="221"/>
      <c r="J39" s="221"/>
      <c r="K39" s="209"/>
      <c r="L39" s="220"/>
      <c r="M39" s="220"/>
      <c r="N39" s="220"/>
      <c r="O39" s="220"/>
      <c r="P39" s="220"/>
      <c r="Q39" s="228"/>
    </row>
    <row r="40" spans="1:17" ht="14.25" hidden="1" customHeight="1" x14ac:dyDescent="0.2">
      <c r="A40" s="227">
        <f>'BİLGİ GİRİŞİ'!A37</f>
        <v>35</v>
      </c>
      <c r="B40" s="207" t="str">
        <f>CONCATENATE('BİLGİ GİRİŞİ'!B37," ",'BİLGİ GİRİŞİ'!C37)</f>
        <v xml:space="preserve"> </v>
      </c>
      <c r="C40" s="208">
        <f>'BİLGİ GİRİŞİ'!J37</f>
        <v>0</v>
      </c>
      <c r="D40" s="209">
        <f t="shared" si="3"/>
        <v>0</v>
      </c>
      <c r="E40" s="219">
        <f t="shared" si="4"/>
        <v>0</v>
      </c>
      <c r="F40" s="221"/>
      <c r="G40" s="221"/>
      <c r="H40" s="221"/>
      <c r="I40" s="221"/>
      <c r="J40" s="221"/>
      <c r="K40" s="209"/>
      <c r="L40" s="220"/>
      <c r="M40" s="220"/>
      <c r="N40" s="220"/>
      <c r="O40" s="220"/>
      <c r="P40" s="220"/>
      <c r="Q40" s="228"/>
    </row>
    <row r="41" spans="1:17" ht="14.25" hidden="1" customHeight="1" x14ac:dyDescent="0.2">
      <c r="A41" s="227">
        <f>'BİLGİ GİRİŞİ'!A38</f>
        <v>36</v>
      </c>
      <c r="B41" s="207" t="str">
        <f>CONCATENATE('BİLGİ GİRİŞİ'!B38," ",'BİLGİ GİRİŞİ'!C38)</f>
        <v xml:space="preserve"> </v>
      </c>
      <c r="C41" s="208">
        <f>'BİLGİ GİRİŞİ'!J38</f>
        <v>0</v>
      </c>
      <c r="D41" s="209">
        <f t="shared" si="3"/>
        <v>0</v>
      </c>
      <c r="E41" s="219">
        <f t="shared" si="4"/>
        <v>0</v>
      </c>
      <c r="F41" s="221"/>
      <c r="G41" s="221"/>
      <c r="H41" s="221"/>
      <c r="I41" s="221"/>
      <c r="J41" s="221"/>
      <c r="K41" s="209"/>
      <c r="L41" s="220"/>
      <c r="M41" s="220"/>
      <c r="N41" s="220"/>
      <c r="O41" s="220"/>
      <c r="P41" s="220"/>
      <c r="Q41" s="228"/>
    </row>
    <row r="42" spans="1:17" ht="14.25" hidden="1" customHeight="1" x14ac:dyDescent="0.2">
      <c r="A42" s="227">
        <f>'BİLGİ GİRİŞİ'!A39</f>
        <v>37</v>
      </c>
      <c r="B42" s="207" t="str">
        <f>CONCATENATE('BİLGİ GİRİŞİ'!B39," ",'BİLGİ GİRİŞİ'!C39)</f>
        <v xml:space="preserve"> </v>
      </c>
      <c r="C42" s="208">
        <f>'BİLGİ GİRİŞİ'!J39</f>
        <v>0</v>
      </c>
      <c r="D42" s="209">
        <f t="shared" si="3"/>
        <v>0</v>
      </c>
      <c r="E42" s="219">
        <f t="shared" si="4"/>
        <v>0</v>
      </c>
      <c r="F42" s="221"/>
      <c r="G42" s="221"/>
      <c r="H42" s="221"/>
      <c r="I42" s="221"/>
      <c r="J42" s="221"/>
      <c r="K42" s="209"/>
      <c r="L42" s="220"/>
      <c r="M42" s="220"/>
      <c r="N42" s="220"/>
      <c r="O42" s="220"/>
      <c r="P42" s="220"/>
      <c r="Q42" s="228"/>
    </row>
    <row r="43" spans="1:17" ht="14.25" hidden="1" customHeight="1" x14ac:dyDescent="0.2">
      <c r="A43" s="227">
        <f>'BİLGİ GİRİŞİ'!A40</f>
        <v>38</v>
      </c>
      <c r="B43" s="207" t="str">
        <f>CONCATENATE('BİLGİ GİRİŞİ'!B40," ",'BİLGİ GİRİŞİ'!C40)</f>
        <v xml:space="preserve"> </v>
      </c>
      <c r="C43" s="208">
        <f>'BİLGİ GİRİŞİ'!J40</f>
        <v>0</v>
      </c>
      <c r="D43" s="209">
        <f t="shared" si="3"/>
        <v>0</v>
      </c>
      <c r="E43" s="219">
        <f t="shared" si="4"/>
        <v>0</v>
      </c>
      <c r="F43" s="221"/>
      <c r="G43" s="221"/>
      <c r="H43" s="221"/>
      <c r="I43" s="221"/>
      <c r="J43" s="221"/>
      <c r="K43" s="209"/>
      <c r="L43" s="220"/>
      <c r="M43" s="220"/>
      <c r="N43" s="220"/>
      <c r="O43" s="220"/>
      <c r="P43" s="220"/>
      <c r="Q43" s="228"/>
    </row>
    <row r="44" spans="1:17" ht="14.25" hidden="1" customHeight="1" x14ac:dyDescent="0.2">
      <c r="A44" s="227">
        <f>'BİLGİ GİRİŞİ'!A41</f>
        <v>39</v>
      </c>
      <c r="B44" s="207" t="str">
        <f>CONCATENATE('BİLGİ GİRİŞİ'!B41," ",'BİLGİ GİRİŞİ'!C41)</f>
        <v xml:space="preserve"> </v>
      </c>
      <c r="C44" s="208">
        <f>'BİLGİ GİRİŞİ'!J41</f>
        <v>0</v>
      </c>
      <c r="D44" s="209">
        <f t="shared" si="3"/>
        <v>0</v>
      </c>
      <c r="E44" s="219">
        <f t="shared" si="4"/>
        <v>0</v>
      </c>
      <c r="F44" s="221"/>
      <c r="G44" s="221"/>
      <c r="H44" s="221"/>
      <c r="I44" s="221"/>
      <c r="J44" s="221"/>
      <c r="K44" s="209"/>
      <c r="L44" s="220"/>
      <c r="M44" s="220"/>
      <c r="N44" s="220"/>
      <c r="O44" s="220"/>
      <c r="P44" s="220"/>
      <c r="Q44" s="228"/>
    </row>
    <row r="45" spans="1:17" ht="14.25" hidden="1" customHeight="1" x14ac:dyDescent="0.2">
      <c r="A45" s="227">
        <f>'BİLGİ GİRİŞİ'!A42</f>
        <v>40</v>
      </c>
      <c r="B45" s="207" t="str">
        <f>CONCATENATE('BİLGİ GİRİŞİ'!B42," ",'BİLGİ GİRİŞİ'!C42)</f>
        <v xml:space="preserve"> </v>
      </c>
      <c r="C45" s="208">
        <f>'BİLGİ GİRİŞİ'!J42</f>
        <v>0</v>
      </c>
      <c r="D45" s="209">
        <f t="shared" si="3"/>
        <v>0</v>
      </c>
      <c r="E45" s="219">
        <f t="shared" si="4"/>
        <v>0</v>
      </c>
      <c r="F45" s="221"/>
      <c r="G45" s="221"/>
      <c r="H45" s="221"/>
      <c r="I45" s="221"/>
      <c r="J45" s="221"/>
      <c r="K45" s="209"/>
      <c r="L45" s="220"/>
      <c r="M45" s="220"/>
      <c r="N45" s="220"/>
      <c r="O45" s="220"/>
      <c r="P45" s="220"/>
      <c r="Q45" s="228"/>
    </row>
    <row r="46" spans="1:17" ht="14.25" hidden="1" customHeight="1" x14ac:dyDescent="0.2">
      <c r="A46" s="227">
        <f>'BİLGİ GİRİŞİ'!A43</f>
        <v>41</v>
      </c>
      <c r="B46" s="207" t="str">
        <f>CONCATENATE('BİLGİ GİRİŞİ'!B43," ",'BİLGİ GİRİŞİ'!C43)</f>
        <v xml:space="preserve"> </v>
      </c>
      <c r="C46" s="208">
        <f>'BİLGİ GİRİŞİ'!J43</f>
        <v>0</v>
      </c>
      <c r="D46" s="209">
        <f t="shared" si="3"/>
        <v>0</v>
      </c>
      <c r="E46" s="219">
        <f t="shared" si="4"/>
        <v>0</v>
      </c>
      <c r="F46" s="221"/>
      <c r="G46" s="221"/>
      <c r="H46" s="221"/>
      <c r="I46" s="221"/>
      <c r="J46" s="221"/>
      <c r="K46" s="209"/>
      <c r="L46" s="220"/>
      <c r="M46" s="220"/>
      <c r="N46" s="220"/>
      <c r="O46" s="220"/>
      <c r="P46" s="220"/>
      <c r="Q46" s="228"/>
    </row>
    <row r="47" spans="1:17" ht="14.25" hidden="1" customHeight="1" x14ac:dyDescent="0.2">
      <c r="A47" s="227">
        <f>'BİLGİ GİRİŞİ'!A44</f>
        <v>42</v>
      </c>
      <c r="B47" s="207" t="str">
        <f>CONCATENATE('BİLGİ GİRİŞİ'!B44," ",'BİLGİ GİRİŞİ'!C44)</f>
        <v xml:space="preserve"> </v>
      </c>
      <c r="C47" s="208">
        <f>'BİLGİ GİRİŞİ'!J44</f>
        <v>0</v>
      </c>
      <c r="D47" s="209">
        <f t="shared" si="3"/>
        <v>0</v>
      </c>
      <c r="E47" s="219">
        <f t="shared" si="4"/>
        <v>0</v>
      </c>
      <c r="F47" s="221"/>
      <c r="G47" s="221"/>
      <c r="H47" s="221"/>
      <c r="I47" s="221"/>
      <c r="J47" s="221"/>
      <c r="K47" s="209"/>
      <c r="L47" s="220"/>
      <c r="M47" s="220"/>
      <c r="N47" s="220"/>
      <c r="O47" s="220"/>
      <c r="P47" s="220"/>
      <c r="Q47" s="228"/>
    </row>
    <row r="48" spans="1:17" ht="14.25" hidden="1" customHeight="1" x14ac:dyDescent="0.2">
      <c r="A48" s="227">
        <f>'BİLGİ GİRİŞİ'!A45</f>
        <v>43</v>
      </c>
      <c r="B48" s="207" t="str">
        <f>CONCATENATE('BİLGİ GİRİŞİ'!B45," ",'BİLGİ GİRİŞİ'!C45)</f>
        <v xml:space="preserve"> </v>
      </c>
      <c r="C48" s="208">
        <f>'BİLGİ GİRİŞİ'!J45</f>
        <v>0</v>
      </c>
      <c r="D48" s="209">
        <f t="shared" si="3"/>
        <v>0</v>
      </c>
      <c r="E48" s="219">
        <f t="shared" si="4"/>
        <v>0</v>
      </c>
      <c r="F48" s="221"/>
      <c r="G48" s="221"/>
      <c r="H48" s="221"/>
      <c r="I48" s="221"/>
      <c r="J48" s="221"/>
      <c r="K48" s="209"/>
      <c r="L48" s="220"/>
      <c r="M48" s="220"/>
      <c r="N48" s="220"/>
      <c r="O48" s="220"/>
      <c r="P48" s="220"/>
      <c r="Q48" s="228"/>
    </row>
    <row r="49" spans="1:17" ht="14.25" hidden="1" customHeight="1" x14ac:dyDescent="0.2">
      <c r="A49" s="227">
        <f>'BİLGİ GİRİŞİ'!A46</f>
        <v>44</v>
      </c>
      <c r="B49" s="207" t="str">
        <f>CONCATENATE('BİLGİ GİRİŞİ'!B46," ",'BİLGİ GİRİŞİ'!C46)</f>
        <v xml:space="preserve"> </v>
      </c>
      <c r="C49" s="208">
        <f>'BİLGİ GİRİŞİ'!J46</f>
        <v>0</v>
      </c>
      <c r="D49" s="209">
        <f t="shared" si="3"/>
        <v>0</v>
      </c>
      <c r="E49" s="219">
        <f t="shared" si="4"/>
        <v>0</v>
      </c>
      <c r="F49" s="221"/>
      <c r="G49" s="221"/>
      <c r="H49" s="221"/>
      <c r="I49" s="221"/>
      <c r="J49" s="221"/>
      <c r="K49" s="209"/>
      <c r="L49" s="220"/>
      <c r="M49" s="220"/>
      <c r="N49" s="220"/>
      <c r="O49" s="220"/>
      <c r="P49" s="220"/>
      <c r="Q49" s="228"/>
    </row>
    <row r="50" spans="1:17" ht="14.25" hidden="1" customHeight="1" x14ac:dyDescent="0.2">
      <c r="A50" s="227">
        <f>'BİLGİ GİRİŞİ'!A47</f>
        <v>45</v>
      </c>
      <c r="B50" s="207" t="str">
        <f>CONCATENATE('BİLGİ GİRİŞİ'!B47," ",'BİLGİ GİRİŞİ'!C47)</f>
        <v xml:space="preserve"> </v>
      </c>
      <c r="C50" s="208">
        <f>'BİLGİ GİRİŞİ'!J47</f>
        <v>0</v>
      </c>
      <c r="D50" s="209">
        <f t="shared" si="3"/>
        <v>0</v>
      </c>
      <c r="E50" s="219">
        <f t="shared" si="4"/>
        <v>0</v>
      </c>
      <c r="F50" s="221"/>
      <c r="G50" s="221"/>
      <c r="H50" s="221"/>
      <c r="I50" s="221"/>
      <c r="J50" s="221"/>
      <c r="K50" s="209"/>
      <c r="L50" s="220"/>
      <c r="M50" s="220"/>
      <c r="N50" s="220"/>
      <c r="O50" s="220"/>
      <c r="P50" s="220"/>
      <c r="Q50" s="228"/>
    </row>
    <row r="51" spans="1:17" ht="14.25" hidden="1" customHeight="1" x14ac:dyDescent="0.2">
      <c r="A51" s="227">
        <f>'BİLGİ GİRİŞİ'!A48</f>
        <v>46</v>
      </c>
      <c r="B51" s="207" t="str">
        <f>CONCATENATE('BİLGİ GİRİŞİ'!B48," ",'BİLGİ GİRİŞİ'!C48)</f>
        <v xml:space="preserve"> </v>
      </c>
      <c r="C51" s="208">
        <f>'BİLGİ GİRİŞİ'!J48</f>
        <v>0</v>
      </c>
      <c r="D51" s="209">
        <f t="shared" si="3"/>
        <v>0</v>
      </c>
      <c r="E51" s="219">
        <f t="shared" si="4"/>
        <v>0</v>
      </c>
      <c r="F51" s="221"/>
      <c r="G51" s="221"/>
      <c r="H51" s="221"/>
      <c r="I51" s="221"/>
      <c r="J51" s="221"/>
      <c r="K51" s="209"/>
      <c r="L51" s="220"/>
      <c r="M51" s="220"/>
      <c r="N51" s="220"/>
      <c r="O51" s="220"/>
      <c r="P51" s="220"/>
      <c r="Q51" s="228"/>
    </row>
    <row r="52" spans="1:17" ht="14.25" hidden="1" customHeight="1" x14ac:dyDescent="0.2">
      <c r="A52" s="227">
        <f>'BİLGİ GİRİŞİ'!A49</f>
        <v>47</v>
      </c>
      <c r="B52" s="207" t="str">
        <f>CONCATENATE('BİLGİ GİRİŞİ'!B49," ",'BİLGİ GİRİŞİ'!C49)</f>
        <v xml:space="preserve"> </v>
      </c>
      <c r="C52" s="208">
        <f>'BİLGİ GİRİŞİ'!J49</f>
        <v>0</v>
      </c>
      <c r="D52" s="209">
        <f t="shared" si="3"/>
        <v>0</v>
      </c>
      <c r="E52" s="219">
        <f t="shared" si="4"/>
        <v>0</v>
      </c>
      <c r="F52" s="221"/>
      <c r="G52" s="221"/>
      <c r="H52" s="221"/>
      <c r="I52" s="221"/>
      <c r="J52" s="221"/>
      <c r="K52" s="209"/>
      <c r="L52" s="220"/>
      <c r="M52" s="220"/>
      <c r="N52" s="220"/>
      <c r="O52" s="220"/>
      <c r="P52" s="220"/>
      <c r="Q52" s="228"/>
    </row>
    <row r="53" spans="1:17" ht="14.25" hidden="1" customHeight="1" x14ac:dyDescent="0.2">
      <c r="A53" s="227">
        <f>'BİLGİ GİRİŞİ'!A50</f>
        <v>48</v>
      </c>
      <c r="B53" s="207" t="str">
        <f>CONCATENATE('BİLGİ GİRİŞİ'!B50," ",'BİLGİ GİRİŞİ'!C50)</f>
        <v xml:space="preserve"> </v>
      </c>
      <c r="C53" s="208">
        <f>'BİLGİ GİRİŞİ'!J50</f>
        <v>0</v>
      </c>
      <c r="D53" s="209">
        <f t="shared" si="3"/>
        <v>0</v>
      </c>
      <c r="E53" s="219">
        <f t="shared" si="4"/>
        <v>0</v>
      </c>
      <c r="F53" s="221"/>
      <c r="G53" s="221"/>
      <c r="H53" s="221"/>
      <c r="I53" s="221"/>
      <c r="J53" s="221"/>
      <c r="K53" s="209"/>
      <c r="L53" s="220"/>
      <c r="M53" s="220"/>
      <c r="N53" s="220"/>
      <c r="O53" s="220"/>
      <c r="P53" s="220"/>
      <c r="Q53" s="228"/>
    </row>
    <row r="54" spans="1:17" ht="14.25" hidden="1" customHeight="1" x14ac:dyDescent="0.2">
      <c r="A54" s="227"/>
      <c r="B54" s="207"/>
      <c r="C54" s="208"/>
      <c r="D54" s="209"/>
      <c r="E54" s="219"/>
      <c r="F54" s="221"/>
      <c r="G54" s="221"/>
      <c r="H54" s="221"/>
      <c r="I54" s="221"/>
      <c r="J54" s="221"/>
      <c r="K54" s="209"/>
      <c r="L54" s="220"/>
      <c r="M54" s="220"/>
      <c r="N54" s="220"/>
      <c r="O54" s="220"/>
      <c r="P54" s="220"/>
      <c r="Q54" s="228"/>
    </row>
    <row r="55" spans="1:17" ht="14.25" customHeight="1" x14ac:dyDescent="0.2">
      <c r="A55" s="227"/>
      <c r="B55" s="207"/>
      <c r="C55" s="208"/>
      <c r="D55" s="209"/>
      <c r="E55" s="219"/>
      <c r="F55" s="221"/>
      <c r="G55" s="221"/>
      <c r="H55" s="221"/>
      <c r="I55" s="221"/>
      <c r="J55" s="221"/>
      <c r="K55" s="209"/>
      <c r="L55" s="220"/>
      <c r="M55" s="220"/>
      <c r="N55" s="220"/>
      <c r="O55" s="220"/>
      <c r="P55" s="220"/>
      <c r="Q55" s="228"/>
    </row>
    <row r="56" spans="1:17" ht="14.25" customHeight="1" thickBot="1" x14ac:dyDescent="0.25">
      <c r="A56" s="504" t="s">
        <v>5</v>
      </c>
      <c r="B56" s="505"/>
      <c r="C56" s="505"/>
      <c r="D56" s="506"/>
      <c r="E56" s="229">
        <f>SUM(E6:E55)</f>
        <v>1876.5</v>
      </c>
      <c r="F56" s="230">
        <f>SUM(F6:F55)</f>
        <v>1258.1999999999998</v>
      </c>
      <c r="G56" s="230">
        <f t="shared" ref="G56:Q56" si="5">SUM(G6:G55)</f>
        <v>0</v>
      </c>
      <c r="H56" s="230">
        <f t="shared" si="5"/>
        <v>0</v>
      </c>
      <c r="I56" s="230">
        <f t="shared" si="5"/>
        <v>0</v>
      </c>
      <c r="J56" s="230">
        <f t="shared" si="5"/>
        <v>0</v>
      </c>
      <c r="K56" s="231">
        <f t="shared" si="5"/>
        <v>0</v>
      </c>
      <c r="L56" s="232">
        <f t="shared" si="5"/>
        <v>0</v>
      </c>
      <c r="M56" s="232">
        <f t="shared" si="5"/>
        <v>0</v>
      </c>
      <c r="N56" s="232">
        <f t="shared" si="5"/>
        <v>0</v>
      </c>
      <c r="O56" s="232">
        <f t="shared" si="5"/>
        <v>0</v>
      </c>
      <c r="P56" s="232">
        <f t="shared" si="5"/>
        <v>0</v>
      </c>
      <c r="Q56" s="233">
        <f t="shared" si="5"/>
        <v>0</v>
      </c>
    </row>
    <row r="57" spans="1:17" x14ac:dyDescent="0.2">
      <c r="A57" s="215" t="s">
        <v>274</v>
      </c>
      <c r="B57" s="501" t="s">
        <v>170</v>
      </c>
      <c r="C57" s="501"/>
      <c r="D57" s="501"/>
      <c r="E57" s="501"/>
      <c r="F57" s="501"/>
      <c r="G57" s="501"/>
      <c r="H57" s="501"/>
      <c r="I57" s="501"/>
      <c r="J57" s="501"/>
      <c r="K57" s="501"/>
      <c r="L57" s="501"/>
      <c r="M57" s="501"/>
      <c r="N57" s="501"/>
      <c r="O57" s="501"/>
      <c r="P57" s="501"/>
      <c r="Q57" s="501"/>
    </row>
    <row r="58" spans="1:17" x14ac:dyDescent="0.2">
      <c r="A58" s="507"/>
      <c r="B58" s="507"/>
      <c r="C58" s="507"/>
      <c r="D58" s="507"/>
      <c r="E58" s="507"/>
      <c r="F58" s="507"/>
    </row>
    <row r="59" spans="1:17" ht="24.75" customHeight="1" x14ac:dyDescent="0.2">
      <c r="A59" s="216" t="s">
        <v>171</v>
      </c>
      <c r="B59" s="500" t="s">
        <v>172</v>
      </c>
      <c r="C59" s="500"/>
      <c r="D59" s="500"/>
      <c r="E59" s="500"/>
      <c r="F59" s="500"/>
      <c r="G59" s="500"/>
      <c r="H59" s="500"/>
      <c r="I59" s="500"/>
      <c r="J59" s="500"/>
      <c r="K59" s="500"/>
      <c r="L59" s="500"/>
      <c r="M59" s="500"/>
      <c r="N59" s="500"/>
      <c r="O59" s="500"/>
      <c r="P59" s="500"/>
      <c r="Q59" s="500"/>
    </row>
    <row r="60" spans="1:17" ht="23.25" customHeight="1" x14ac:dyDescent="0.2">
      <c r="A60" s="217" t="s">
        <v>173</v>
      </c>
      <c r="B60" s="500" t="s">
        <v>174</v>
      </c>
      <c r="C60" s="500"/>
      <c r="D60" s="500"/>
      <c r="E60" s="500"/>
      <c r="F60" s="500"/>
      <c r="G60" s="500"/>
      <c r="H60" s="500"/>
      <c r="I60" s="500"/>
      <c r="J60" s="500"/>
      <c r="K60" s="500"/>
      <c r="L60" s="500"/>
      <c r="M60" s="500"/>
      <c r="N60" s="500"/>
      <c r="O60" s="500"/>
      <c r="P60" s="500"/>
      <c r="Q60" s="500"/>
    </row>
    <row r="61" spans="1:17" ht="28.5" customHeight="1" x14ac:dyDescent="0.2">
      <c r="A61" s="217" t="s">
        <v>175</v>
      </c>
      <c r="B61" s="500" t="s">
        <v>176</v>
      </c>
      <c r="C61" s="500"/>
      <c r="D61" s="500"/>
      <c r="E61" s="500"/>
      <c r="F61" s="500"/>
      <c r="G61" s="500"/>
      <c r="H61" s="500"/>
      <c r="I61" s="500"/>
      <c r="J61" s="500"/>
      <c r="K61" s="500"/>
      <c r="L61" s="500"/>
      <c r="M61" s="500"/>
      <c r="N61" s="500"/>
      <c r="O61" s="500"/>
      <c r="P61" s="500"/>
      <c r="Q61" s="500"/>
    </row>
    <row r="62" spans="1:17" ht="27.75" customHeight="1" x14ac:dyDescent="0.2">
      <c r="A62" s="217" t="s">
        <v>177</v>
      </c>
      <c r="B62" s="500" t="s">
        <v>178</v>
      </c>
      <c r="C62" s="500"/>
      <c r="D62" s="500"/>
      <c r="E62" s="500"/>
      <c r="F62" s="500"/>
      <c r="G62" s="500"/>
      <c r="H62" s="500"/>
      <c r="I62" s="500"/>
      <c r="J62" s="500"/>
      <c r="K62" s="500"/>
      <c r="L62" s="500"/>
      <c r="M62" s="500"/>
      <c r="N62" s="500"/>
      <c r="O62" s="500"/>
      <c r="P62" s="500"/>
      <c r="Q62" s="500"/>
    </row>
    <row r="63" spans="1:17" ht="26.25" customHeight="1" x14ac:dyDescent="0.2">
      <c r="A63" s="216" t="s">
        <v>179</v>
      </c>
      <c r="B63" s="500" t="s">
        <v>180</v>
      </c>
      <c r="C63" s="500"/>
      <c r="D63" s="500"/>
      <c r="E63" s="500"/>
      <c r="F63" s="500"/>
      <c r="G63" s="500"/>
      <c r="H63" s="500"/>
      <c r="I63" s="500"/>
      <c r="J63" s="500"/>
      <c r="K63" s="500"/>
      <c r="L63" s="500"/>
      <c r="M63" s="500"/>
      <c r="N63" s="500"/>
      <c r="O63" s="500"/>
      <c r="P63" s="500"/>
      <c r="Q63" s="500"/>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70" zoomScaleNormal="70" workbookViewId="0">
      <selection activeCell="C67" sqref="A1:D67"/>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20" t="s">
        <v>134</v>
      </c>
      <c r="B1" s="520"/>
      <c r="C1" s="520"/>
      <c r="D1" s="520"/>
    </row>
    <row r="2" spans="1:4" x14ac:dyDescent="0.2">
      <c r="A2" s="99"/>
      <c r="B2" s="99"/>
      <c r="C2" s="114"/>
      <c r="D2" s="100"/>
    </row>
    <row r="3" spans="1:4" ht="32.25" customHeight="1" x14ac:dyDescent="0.2">
      <c r="A3" s="525" t="s">
        <v>10</v>
      </c>
      <c r="B3" s="526"/>
      <c r="C3" s="521" t="s">
        <v>270</v>
      </c>
      <c r="D3" s="521"/>
    </row>
    <row r="4" spans="1:4" ht="15.75" customHeight="1" x14ac:dyDescent="0.2">
      <c r="A4" s="101" t="s">
        <v>11</v>
      </c>
      <c r="B4" s="101"/>
      <c r="C4" s="522" t="s">
        <v>271</v>
      </c>
      <c r="D4" s="522"/>
    </row>
    <row r="5" spans="1:4" ht="15.75" customHeight="1" x14ac:dyDescent="0.2">
      <c r="A5" s="101" t="s">
        <v>12</v>
      </c>
      <c r="B5" s="101"/>
      <c r="C5" s="523" t="str">
        <f>CONCATENATE(KONTROL!C1,"-",KONTROL!C2)</f>
        <v>ŞUBAT-2022</v>
      </c>
      <c r="D5" s="524"/>
    </row>
    <row r="6" spans="1:4" ht="12" customHeight="1" x14ac:dyDescent="0.2">
      <c r="A6" s="102"/>
      <c r="B6" s="103"/>
      <c r="C6" s="131"/>
      <c r="D6" s="104"/>
    </row>
    <row r="7" spans="1:4" ht="12" customHeight="1" x14ac:dyDescent="0.2">
      <c r="A7" s="511" t="s">
        <v>13</v>
      </c>
      <c r="B7" s="514" t="s">
        <v>188</v>
      </c>
      <c r="C7" s="517" t="s">
        <v>240</v>
      </c>
      <c r="D7" s="514" t="s">
        <v>187</v>
      </c>
    </row>
    <row r="8" spans="1:4" ht="12" customHeight="1" x14ac:dyDescent="0.2">
      <c r="A8" s="512"/>
      <c r="B8" s="515"/>
      <c r="C8" s="518"/>
      <c r="D8" s="515"/>
    </row>
    <row r="9" spans="1:4" ht="16.149999999999999" customHeight="1" x14ac:dyDescent="0.2">
      <c r="A9" s="513"/>
      <c r="B9" s="516"/>
      <c r="C9" s="519"/>
      <c r="D9" s="516"/>
    </row>
    <row r="10" spans="1:4" ht="19.149999999999999" customHeight="1" x14ac:dyDescent="0.2">
      <c r="A10" s="105">
        <v>1</v>
      </c>
      <c r="B10" s="106" t="str">
        <f>CONCATENATE('BİLGİ GİRİŞİ'!B3," ",'BİLGİ GİRİŞİ'!C3)</f>
        <v>ESRA GÜMÜŞ</v>
      </c>
      <c r="C10" s="107" t="str">
        <f>'BİLGİ GİRİŞİ'!E3</f>
        <v>TR800001000396620813885002</v>
      </c>
      <c r="D10" s="129">
        <f>BORDRO!AC8</f>
        <v>3614.3099999999995</v>
      </c>
    </row>
    <row r="11" spans="1:4" ht="20.100000000000001" customHeight="1" x14ac:dyDescent="0.2">
      <c r="A11" s="105">
        <v>2</v>
      </c>
      <c r="B11" s="106" t="str">
        <f>CONCATENATE('BİLGİ GİRİŞİ'!B4," ",'BİLGİ GİRİŞİ'!C4)</f>
        <v>ŞERİFE GÜNAL</v>
      </c>
      <c r="C11" s="107" t="str">
        <f>'BİLGİ GİRİŞİ'!E4</f>
        <v>TR910001000396574803915009</v>
      </c>
      <c r="D11" s="129">
        <f>BORDRO!AC9</f>
        <v>2976.4900000000002</v>
      </c>
    </row>
    <row r="12" spans="1:4" ht="19.5" customHeight="1" x14ac:dyDescent="0.2">
      <c r="A12" s="105">
        <v>3</v>
      </c>
      <c r="B12" s="106" t="str">
        <f>CONCATENATE('BİLGİ GİRİŞİ'!B5," ",'BİLGİ GİRİŞİ'!C5)</f>
        <v>HATİCE SUCU</v>
      </c>
      <c r="C12" s="107" t="str">
        <f>'BİLGİ GİRİŞİ'!E5</f>
        <v>TR370001000396507760435002</v>
      </c>
      <c r="D12" s="129">
        <f>BORDRO!AC10</f>
        <v>963.82</v>
      </c>
    </row>
    <row r="13" spans="1:4" ht="19.5" customHeight="1" x14ac:dyDescent="0.2">
      <c r="A13" s="105">
        <v>4</v>
      </c>
      <c r="B13" s="106" t="str">
        <f>CONCATENATE('BİLGİ GİRİŞİ'!B6," ",'BİLGİ GİRİŞİ'!C6)</f>
        <v>YASİN DAYANKAÇ</v>
      </c>
      <c r="C13" s="198" t="str">
        <f>'BİLGİ GİRİŞİ'!E6</f>
        <v>TR920001000396598882535003</v>
      </c>
      <c r="D13" s="199">
        <f>BORDRO!AC11</f>
        <v>1887.1300000000003</v>
      </c>
    </row>
    <row r="14" spans="1:4" ht="18.75" customHeight="1" x14ac:dyDescent="0.2">
      <c r="A14" s="105">
        <v>5</v>
      </c>
      <c r="B14" s="106" t="str">
        <f>CONCATENATE('BİLGİ GİRİŞİ'!B7," ",'BİLGİ GİRİŞİ'!C7)</f>
        <v>REFİYE RANA TOK</v>
      </c>
      <c r="C14" s="198" t="str">
        <f>'BİLGİ GİRİŞİ'!E7</f>
        <v>TR370001000396586635445003</v>
      </c>
      <c r="D14" s="199">
        <f>BORDRO!AC12</f>
        <v>3179.99</v>
      </c>
    </row>
    <row r="15" spans="1:4" ht="20.100000000000001" customHeight="1" x14ac:dyDescent="0.2">
      <c r="A15" s="105">
        <v>6</v>
      </c>
      <c r="B15" s="106" t="str">
        <f>CONCATENATE('BİLGİ GİRİŞİ'!B8," ",'BİLGİ GİRİŞİ'!C8)</f>
        <v>YUSUF ARABACI</v>
      </c>
      <c r="C15" s="107"/>
      <c r="D15" s="129"/>
    </row>
    <row r="16" spans="1:4" ht="20.100000000000001" customHeight="1" x14ac:dyDescent="0.2">
      <c r="A16" s="105">
        <v>7</v>
      </c>
      <c r="B16" s="106" t="str">
        <f>CONCATENATE('BİLGİ GİRİŞİ'!B9," ",'BİLGİ GİRİŞİ'!C9)</f>
        <v>ASLI ÜSTELİK</v>
      </c>
      <c r="C16" s="107"/>
      <c r="D16" s="129"/>
    </row>
    <row r="17" spans="1:4" ht="20.100000000000001" customHeight="1" x14ac:dyDescent="0.2">
      <c r="A17" s="105">
        <v>8</v>
      </c>
      <c r="B17" s="106" t="str">
        <f>CONCATENATE('BİLGİ GİRİŞİ'!B10," ",'BİLGİ GİRİŞİ'!C10)</f>
        <v xml:space="preserve"> </v>
      </c>
      <c r="C17" s="107"/>
      <c r="D17" s="129"/>
    </row>
    <row r="18" spans="1:4" ht="20.100000000000001" customHeight="1" x14ac:dyDescent="0.2">
      <c r="A18" s="105">
        <v>9</v>
      </c>
      <c r="B18" s="106" t="str">
        <f>CONCATENATE('BİLGİ GİRİŞİ'!B11," ",'BİLGİ GİRİŞİ'!C11)</f>
        <v xml:space="preserve"> </v>
      </c>
      <c r="C18" s="107"/>
      <c r="D18" s="129"/>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08" t="s">
        <v>5</v>
      </c>
      <c r="B60" s="509"/>
      <c r="C60" s="510"/>
      <c r="D60" s="130">
        <f>SUM(D10:D59)</f>
        <v>12621.74</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27" t="s">
        <v>150</v>
      </c>
      <c r="B64" s="527"/>
      <c r="C64" s="527" t="s">
        <v>153</v>
      </c>
      <c r="D64" s="527"/>
    </row>
    <row r="65" spans="1:4" ht="20.100000000000001" customHeight="1" x14ac:dyDescent="0.2">
      <c r="A65" s="1"/>
      <c r="B65" s="98"/>
      <c r="C65" s="113"/>
      <c r="D65" s="128"/>
    </row>
    <row r="66" spans="1:4" ht="20.100000000000001" customHeight="1" x14ac:dyDescent="0.2">
      <c r="A66" s="527" t="s">
        <v>272</v>
      </c>
      <c r="B66" s="527"/>
      <c r="C66" s="528" t="s">
        <v>273</v>
      </c>
      <c r="D66" s="528"/>
    </row>
    <row r="67" spans="1:4" ht="20.100000000000001" customHeight="1" x14ac:dyDescent="0.2">
      <c r="A67" s="527" t="s">
        <v>265</v>
      </c>
      <c r="B67" s="527"/>
      <c r="C67" s="528" t="s">
        <v>258</v>
      </c>
      <c r="D67" s="528"/>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horizont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31" t="s">
        <v>248</v>
      </c>
      <c r="B1" s="531"/>
      <c r="C1" s="531"/>
      <c r="D1" s="531"/>
      <c r="E1" s="531"/>
      <c r="F1" s="531"/>
    </row>
    <row r="2" spans="1:6" x14ac:dyDescent="0.2">
      <c r="B2" s="149"/>
      <c r="C2" s="150"/>
      <c r="D2" s="149"/>
    </row>
    <row r="3" spans="1:6" x14ac:dyDescent="0.2">
      <c r="A3" s="151" t="s">
        <v>10</v>
      </c>
      <c r="B3" s="146"/>
      <c r="C3" s="530" t="s">
        <v>260</v>
      </c>
      <c r="D3" s="530"/>
      <c r="E3" s="530"/>
      <c r="F3" s="530"/>
    </row>
    <row r="4" spans="1:6" x14ac:dyDescent="0.2">
      <c r="A4" s="151" t="s">
        <v>12</v>
      </c>
      <c r="B4" s="152"/>
      <c r="C4" s="152" t="str">
        <f>CONCATENATE(KONTROL!C1,"-",KONTROL!C2)</f>
        <v>ŞUBAT-2022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29" t="s">
        <v>5</v>
      </c>
      <c r="B10" s="529"/>
      <c r="C10" s="529"/>
      <c r="D10" s="529"/>
      <c r="E10" s="529"/>
      <c r="F10" s="160">
        <f>SUM(F7:F9)</f>
        <v>0</v>
      </c>
    </row>
    <row r="14" spans="1:6" x14ac:dyDescent="0.2">
      <c r="A14" s="158"/>
    </row>
    <row r="15" spans="1:6" x14ac:dyDescent="0.2">
      <c r="A15" s="532" t="s">
        <v>150</v>
      </c>
      <c r="B15" s="533"/>
      <c r="D15" s="532" t="s">
        <v>259</v>
      </c>
      <c r="E15" s="533"/>
      <c r="F15" s="533"/>
    </row>
    <row r="16" spans="1:6" x14ac:dyDescent="0.2">
      <c r="A16" s="532"/>
      <c r="B16" s="533"/>
      <c r="D16" s="532" t="s">
        <v>153</v>
      </c>
      <c r="E16" s="533"/>
      <c r="F16" s="533"/>
    </row>
    <row r="17" spans="1:6" x14ac:dyDescent="0.2">
      <c r="A17" s="534" t="e">
        <f>BORDRO!#REF!</f>
        <v>#REF!</v>
      </c>
      <c r="B17" s="534"/>
      <c r="D17" s="535" t="e">
        <f>BORDRO!#REF!</f>
        <v>#REF!</v>
      </c>
      <c r="E17" s="533"/>
      <c r="F17" s="533"/>
    </row>
    <row r="18" spans="1:6" x14ac:dyDescent="0.2">
      <c r="A18" s="533"/>
      <c r="B18" s="533"/>
      <c r="D18" s="533"/>
      <c r="E18" s="533"/>
      <c r="F18" s="533"/>
    </row>
    <row r="19" spans="1:6" x14ac:dyDescent="0.2">
      <c r="A19" s="532"/>
      <c r="B19" s="533"/>
      <c r="D19" s="532"/>
      <c r="E19" s="533"/>
      <c r="F19" s="533"/>
    </row>
    <row r="20" spans="1:6" x14ac:dyDescent="0.2">
      <c r="A20" s="532"/>
      <c r="B20" s="533"/>
      <c r="D20" s="532"/>
      <c r="E20" s="533"/>
      <c r="F20" s="533"/>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543" t="s">
        <v>61</v>
      </c>
      <c r="J1" s="543"/>
      <c r="K1" s="543"/>
      <c r="L1" s="543"/>
      <c r="M1" s="543"/>
      <c r="N1" s="543"/>
      <c r="O1" s="543"/>
      <c r="P1" s="543"/>
      <c r="Q1" s="543"/>
      <c r="R1" s="543"/>
      <c r="S1" s="543"/>
      <c r="T1" s="543"/>
      <c r="U1" s="543"/>
      <c r="V1" s="543"/>
      <c r="W1" s="543"/>
      <c r="X1" s="543"/>
      <c r="Y1" s="543"/>
      <c r="Z1" s="543"/>
      <c r="AA1" s="543"/>
      <c r="AB1" s="543"/>
      <c r="AC1" s="543"/>
      <c r="AD1" s="543"/>
      <c r="AE1" s="543"/>
      <c r="AF1" s="543"/>
      <c r="AG1" s="543"/>
      <c r="AQ1" s="55" t="s">
        <v>62</v>
      </c>
    </row>
    <row r="2" spans="2:44" ht="10.5" customHeight="1" x14ac:dyDescent="0.2">
      <c r="B2" s="544" t="s">
        <v>63</v>
      </c>
      <c r="C2" s="544"/>
      <c r="D2" s="544"/>
      <c r="E2" s="544"/>
      <c r="F2" s="544"/>
      <c r="G2" s="544"/>
      <c r="H2" s="545"/>
      <c r="I2" s="546" t="s">
        <v>14</v>
      </c>
      <c r="J2" s="547" t="s">
        <v>64</v>
      </c>
      <c r="K2" s="548"/>
      <c r="L2" s="548"/>
      <c r="M2" s="549"/>
      <c r="N2" s="553" t="s">
        <v>65</v>
      </c>
      <c r="O2" s="553"/>
      <c r="P2" s="553"/>
      <c r="Q2" s="553"/>
      <c r="R2" s="547" t="s">
        <v>66</v>
      </c>
      <c r="S2" s="548"/>
      <c r="T2" s="548"/>
      <c r="U2" s="548"/>
      <c r="V2" s="548"/>
      <c r="W2" s="548"/>
      <c r="X2" s="549"/>
      <c r="Y2" s="547" t="s">
        <v>16</v>
      </c>
      <c r="Z2" s="549"/>
      <c r="AA2" s="554" t="s">
        <v>17</v>
      </c>
      <c r="AB2" s="555"/>
      <c r="AC2" s="558" t="s">
        <v>67</v>
      </c>
      <c r="AD2" s="558"/>
      <c r="AE2" s="559" t="s">
        <v>68</v>
      </c>
      <c r="AF2" s="559"/>
      <c r="AG2" s="559"/>
      <c r="AI2" s="536" t="s">
        <v>69</v>
      </c>
      <c r="AJ2" s="537"/>
      <c r="AK2" s="537"/>
      <c r="AL2" s="537"/>
      <c r="AM2" s="537"/>
      <c r="AN2" s="537"/>
      <c r="AO2" s="537"/>
      <c r="AP2" s="537"/>
      <c r="AQ2" s="537"/>
      <c r="AR2" s="538"/>
    </row>
    <row r="3" spans="2:44" ht="9" customHeight="1" x14ac:dyDescent="0.2">
      <c r="B3" s="544"/>
      <c r="C3" s="544"/>
      <c r="D3" s="544"/>
      <c r="E3" s="544"/>
      <c r="F3" s="544"/>
      <c r="G3" s="544"/>
      <c r="H3" s="545"/>
      <c r="I3" s="543"/>
      <c r="J3" s="550"/>
      <c r="K3" s="551"/>
      <c r="L3" s="551"/>
      <c r="M3" s="552"/>
      <c r="N3" s="542" t="s">
        <v>70</v>
      </c>
      <c r="O3" s="542"/>
      <c r="P3" s="578" t="s">
        <v>71</v>
      </c>
      <c r="Q3" s="578"/>
      <c r="R3" s="550"/>
      <c r="S3" s="551"/>
      <c r="T3" s="551"/>
      <c r="U3" s="551"/>
      <c r="V3" s="551"/>
      <c r="W3" s="551"/>
      <c r="X3" s="552"/>
      <c r="Y3" s="550"/>
      <c r="Z3" s="552"/>
      <c r="AA3" s="556"/>
      <c r="AB3" s="557"/>
      <c r="AC3" s="558"/>
      <c r="AD3" s="558"/>
      <c r="AE3" s="559"/>
      <c r="AF3" s="559"/>
      <c r="AG3" s="559"/>
      <c r="AI3" s="539"/>
      <c r="AJ3" s="540"/>
      <c r="AK3" s="540"/>
      <c r="AL3" s="540"/>
      <c r="AM3" s="540"/>
      <c r="AN3" s="540"/>
      <c r="AO3" s="540"/>
      <c r="AP3" s="540"/>
      <c r="AQ3" s="540"/>
      <c r="AR3" s="541"/>
    </row>
    <row r="4" spans="2:44" x14ac:dyDescent="0.2">
      <c r="B4" s="587" t="s">
        <v>72</v>
      </c>
      <c r="C4" s="587"/>
      <c r="D4" s="587"/>
      <c r="E4" s="587"/>
      <c r="F4" s="587"/>
      <c r="G4" s="587"/>
      <c r="H4" s="587"/>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569" t="s">
        <v>74</v>
      </c>
      <c r="AJ4" s="570"/>
      <c r="AK4" s="560" t="s">
        <v>24</v>
      </c>
      <c r="AL4" s="561"/>
      <c r="AM4" s="543">
        <f>KONTROL!C2</f>
        <v>2022</v>
      </c>
      <c r="AN4" s="543"/>
      <c r="AO4" s="543"/>
      <c r="AP4" s="543"/>
      <c r="AQ4" s="543"/>
      <c r="AR4" s="543"/>
    </row>
    <row r="5" spans="2:44" ht="10.5" customHeight="1" x14ac:dyDescent="0.2">
      <c r="B5" s="587"/>
      <c r="C5" s="587"/>
      <c r="D5" s="587"/>
      <c r="E5" s="587"/>
      <c r="F5" s="587"/>
      <c r="G5" s="587"/>
      <c r="H5" s="587"/>
      <c r="AI5" s="571"/>
      <c r="AJ5" s="572"/>
      <c r="AK5" s="560" t="s">
        <v>27</v>
      </c>
      <c r="AL5" s="561"/>
      <c r="AM5" s="543" t="str">
        <f>KONTROL!C1</f>
        <v>ŞUBAT</v>
      </c>
      <c r="AN5" s="543"/>
      <c r="AO5" s="543"/>
      <c r="AP5" s="543"/>
      <c r="AQ5" s="543"/>
      <c r="AR5" s="543"/>
    </row>
    <row r="6" spans="2:44" x14ac:dyDescent="0.2">
      <c r="B6" s="588"/>
      <c r="C6" s="588"/>
      <c r="D6" s="588"/>
      <c r="E6" s="588"/>
      <c r="F6" s="588"/>
      <c r="G6" s="588"/>
      <c r="H6" s="588"/>
      <c r="I6" s="560" t="s">
        <v>20</v>
      </c>
      <c r="J6" s="562"/>
      <c r="K6" s="562"/>
      <c r="L6" s="562"/>
      <c r="M6" s="562"/>
      <c r="N6" s="562"/>
      <c r="O6" s="562"/>
      <c r="P6" s="562"/>
      <c r="Q6" s="562"/>
      <c r="R6" s="562"/>
      <c r="S6" s="562"/>
      <c r="T6" s="561"/>
      <c r="U6" s="563" t="s">
        <v>75</v>
      </c>
      <c r="V6" s="564"/>
      <c r="W6" s="564"/>
      <c r="X6" s="565"/>
      <c r="Y6" s="83"/>
      <c r="Z6" s="566" t="s">
        <v>76</v>
      </c>
      <c r="AA6" s="567"/>
      <c r="AB6" s="567"/>
      <c r="AC6" s="567"/>
      <c r="AD6" s="567"/>
      <c r="AE6" s="567"/>
      <c r="AF6" s="568"/>
      <c r="AG6" s="78"/>
      <c r="AI6" s="566" t="s">
        <v>77</v>
      </c>
      <c r="AJ6" s="568"/>
      <c r="AK6" s="560" t="s">
        <v>23</v>
      </c>
      <c r="AL6" s="561"/>
      <c r="AM6" s="83" t="s">
        <v>15</v>
      </c>
      <c r="AN6" s="56" t="s">
        <v>22</v>
      </c>
      <c r="AO6" s="83"/>
      <c r="AP6" s="560" t="s">
        <v>21</v>
      </c>
      <c r="AQ6" s="561"/>
      <c r="AR6" s="83"/>
    </row>
    <row r="7" spans="2:44" x14ac:dyDescent="0.2">
      <c r="B7" s="581" t="s">
        <v>78</v>
      </c>
      <c r="C7" s="582"/>
      <c r="D7" s="582"/>
      <c r="E7" s="582"/>
      <c r="F7" s="582"/>
      <c r="G7" s="582"/>
      <c r="H7" s="583"/>
      <c r="I7" s="569" t="s">
        <v>226</v>
      </c>
      <c r="J7" s="589"/>
      <c r="K7" s="589"/>
      <c r="L7" s="589"/>
      <c r="M7" s="589"/>
      <c r="N7" s="589"/>
      <c r="O7" s="589"/>
      <c r="P7" s="589"/>
      <c r="Q7" s="589"/>
      <c r="R7" s="589"/>
      <c r="S7" s="589"/>
      <c r="T7" s="570"/>
      <c r="U7" s="536"/>
      <c r="V7" s="537"/>
      <c r="W7" s="537"/>
      <c r="X7" s="537"/>
      <c r="Y7" s="537"/>
      <c r="Z7" s="537"/>
      <c r="AA7" s="537"/>
      <c r="AB7" s="537"/>
      <c r="AC7" s="537"/>
      <c r="AD7" s="537"/>
      <c r="AE7" s="537"/>
      <c r="AF7" s="537"/>
      <c r="AG7" s="538"/>
      <c r="AI7" s="573" t="s">
        <v>79</v>
      </c>
      <c r="AJ7" s="574"/>
      <c r="AK7" s="574"/>
      <c r="AL7" s="574"/>
      <c r="AM7" s="574"/>
      <c r="AN7" s="575"/>
      <c r="AO7" s="560">
        <v>13</v>
      </c>
      <c r="AP7" s="562"/>
      <c r="AQ7" s="562"/>
      <c r="AR7" s="561"/>
    </row>
    <row r="8" spans="2:44" x14ac:dyDescent="0.2">
      <c r="B8" s="576"/>
      <c r="C8" s="577"/>
      <c r="D8" s="577"/>
      <c r="E8" s="577"/>
      <c r="F8" s="577"/>
      <c r="G8" s="577"/>
      <c r="H8" s="585"/>
      <c r="I8" s="571"/>
      <c r="J8" s="590"/>
      <c r="K8" s="590"/>
      <c r="L8" s="590"/>
      <c r="M8" s="590"/>
      <c r="N8" s="590"/>
      <c r="O8" s="590"/>
      <c r="P8" s="590"/>
      <c r="Q8" s="590"/>
      <c r="R8" s="590"/>
      <c r="S8" s="590"/>
      <c r="T8" s="572"/>
      <c r="U8" s="539"/>
      <c r="V8" s="540"/>
      <c r="W8" s="540"/>
      <c r="X8" s="540"/>
      <c r="Y8" s="540"/>
      <c r="Z8" s="540"/>
      <c r="AA8" s="540"/>
      <c r="AB8" s="540"/>
      <c r="AC8" s="540"/>
      <c r="AD8" s="540"/>
      <c r="AE8" s="540"/>
      <c r="AF8" s="540"/>
      <c r="AG8" s="541"/>
      <c r="AI8" s="569" t="s">
        <v>80</v>
      </c>
      <c r="AJ8" s="589"/>
      <c r="AK8" s="589"/>
      <c r="AL8" s="589"/>
      <c r="AM8" s="589"/>
      <c r="AN8" s="570"/>
      <c r="AO8" s="581"/>
      <c r="AP8" s="582"/>
      <c r="AQ8" s="582"/>
      <c r="AR8" s="583"/>
    </row>
    <row r="9" spans="2:44" x14ac:dyDescent="0.2">
      <c r="B9" s="581" t="s">
        <v>81</v>
      </c>
      <c r="C9" s="582"/>
      <c r="D9" s="582"/>
      <c r="E9" s="582"/>
      <c r="F9" s="582"/>
      <c r="G9" s="582"/>
      <c r="H9" s="583"/>
      <c r="I9" s="581" t="s">
        <v>227</v>
      </c>
      <c r="J9" s="582"/>
      <c r="K9" s="582"/>
      <c r="L9" s="582"/>
      <c r="M9" s="582"/>
      <c r="N9" s="582"/>
      <c r="O9" s="582"/>
      <c r="P9" s="582"/>
      <c r="Q9" s="582"/>
      <c r="R9" s="582"/>
      <c r="S9" s="582"/>
      <c r="T9" s="583"/>
      <c r="U9" s="581"/>
      <c r="V9" s="582"/>
      <c r="W9" s="582"/>
      <c r="X9" s="582"/>
      <c r="Y9" s="582"/>
      <c r="Z9" s="582"/>
      <c r="AA9" s="582"/>
      <c r="AB9" s="582"/>
      <c r="AC9" s="582"/>
      <c r="AD9" s="582"/>
      <c r="AE9" s="582"/>
      <c r="AF9" s="582"/>
      <c r="AG9" s="583"/>
      <c r="AI9" s="571"/>
      <c r="AJ9" s="590"/>
      <c r="AK9" s="590"/>
      <c r="AL9" s="590"/>
      <c r="AM9" s="590"/>
      <c r="AN9" s="572"/>
      <c r="AO9" s="576"/>
      <c r="AP9" s="577"/>
      <c r="AQ9" s="577"/>
      <c r="AR9" s="585"/>
    </row>
    <row r="10" spans="2:44" x14ac:dyDescent="0.2">
      <c r="B10" s="584"/>
      <c r="C10" s="579"/>
      <c r="D10" s="579"/>
      <c r="E10" s="579"/>
      <c r="F10" s="579"/>
      <c r="G10" s="579"/>
      <c r="H10" s="580"/>
      <c r="I10" s="584"/>
      <c r="J10" s="579"/>
      <c r="K10" s="579"/>
      <c r="L10" s="579"/>
      <c r="M10" s="579"/>
      <c r="N10" s="579"/>
      <c r="O10" s="579"/>
      <c r="P10" s="579"/>
      <c r="Q10" s="579"/>
      <c r="R10" s="579"/>
      <c r="S10" s="579"/>
      <c r="T10" s="580"/>
      <c r="U10" s="584"/>
      <c r="V10" s="579"/>
      <c r="W10" s="579"/>
      <c r="X10" s="579"/>
      <c r="Y10" s="579"/>
      <c r="Z10" s="579"/>
      <c r="AA10" s="579"/>
      <c r="AB10" s="579"/>
      <c r="AC10" s="579"/>
      <c r="AD10" s="579"/>
      <c r="AE10" s="579"/>
      <c r="AF10" s="579"/>
      <c r="AG10" s="580"/>
      <c r="AI10" s="569" t="s">
        <v>82</v>
      </c>
      <c r="AJ10" s="589"/>
      <c r="AK10" s="589"/>
      <c r="AL10" s="589"/>
      <c r="AM10" s="589"/>
      <c r="AN10" s="570"/>
      <c r="AO10" s="536">
        <v>1</v>
      </c>
      <c r="AP10" s="537"/>
      <c r="AQ10" s="537"/>
      <c r="AR10" s="538"/>
    </row>
    <row r="11" spans="2:44" x14ac:dyDescent="0.2">
      <c r="B11" s="584"/>
      <c r="C11" s="579"/>
      <c r="D11" s="579"/>
      <c r="E11" s="579"/>
      <c r="F11" s="579"/>
      <c r="G11" s="579"/>
      <c r="H11" s="580"/>
      <c r="I11" s="584" t="s">
        <v>83</v>
      </c>
      <c r="J11" s="579"/>
      <c r="K11" s="586"/>
      <c r="L11" s="586"/>
      <c r="M11" s="586"/>
      <c r="N11" s="586"/>
      <c r="O11" s="579" t="s">
        <v>84</v>
      </c>
      <c r="P11" s="579"/>
      <c r="Q11" s="579" t="s">
        <v>213</v>
      </c>
      <c r="R11" s="579"/>
      <c r="S11" s="579"/>
      <c r="T11" s="580"/>
      <c r="U11" s="584" t="s">
        <v>83</v>
      </c>
      <c r="V11" s="579"/>
      <c r="W11" s="579"/>
      <c r="X11" s="579"/>
      <c r="Y11" s="579"/>
      <c r="Z11" s="579"/>
      <c r="AA11" s="579"/>
      <c r="AB11" s="579" t="s">
        <v>85</v>
      </c>
      <c r="AC11" s="579"/>
      <c r="AD11" s="579"/>
      <c r="AE11" s="579"/>
      <c r="AF11" s="579"/>
      <c r="AG11" s="580"/>
      <c r="AI11" s="571"/>
      <c r="AJ11" s="590"/>
      <c r="AK11" s="590"/>
      <c r="AL11" s="590"/>
      <c r="AM11" s="590"/>
      <c r="AN11" s="572"/>
      <c r="AO11" s="539"/>
      <c r="AP11" s="540"/>
      <c r="AQ11" s="540"/>
      <c r="AR11" s="541"/>
    </row>
    <row r="12" spans="2:44" x14ac:dyDescent="0.2">
      <c r="B12" s="576"/>
      <c r="C12" s="577"/>
      <c r="D12" s="577"/>
      <c r="E12" s="577"/>
      <c r="F12" s="577"/>
      <c r="G12" s="577"/>
      <c r="H12" s="585"/>
      <c r="I12" s="576" t="s">
        <v>86</v>
      </c>
      <c r="J12" s="577"/>
      <c r="K12" s="577" t="s">
        <v>87</v>
      </c>
      <c r="L12" s="577"/>
      <c r="M12" s="577"/>
      <c r="N12" s="577"/>
      <c r="O12" s="577" t="s">
        <v>88</v>
      </c>
      <c r="P12" s="577"/>
      <c r="Q12" s="577"/>
      <c r="R12" s="577"/>
      <c r="S12" s="577"/>
      <c r="T12" s="585"/>
      <c r="U12" s="576" t="s">
        <v>86</v>
      </c>
      <c r="V12" s="577"/>
      <c r="W12" s="577"/>
      <c r="X12" s="577"/>
      <c r="Y12" s="577"/>
      <c r="Z12" s="577"/>
      <c r="AA12" s="577"/>
      <c r="AB12" s="577" t="s">
        <v>88</v>
      </c>
      <c r="AC12" s="577"/>
      <c r="AD12" s="577"/>
      <c r="AE12" s="577"/>
      <c r="AF12" s="577"/>
      <c r="AG12" s="585"/>
      <c r="AI12" s="573" t="s">
        <v>89</v>
      </c>
      <c r="AJ12" s="574"/>
      <c r="AK12" s="574"/>
      <c r="AL12" s="574"/>
      <c r="AM12" s="574"/>
      <c r="AN12" s="575"/>
      <c r="AO12" s="560">
        <v>1</v>
      </c>
      <c r="AP12" s="562"/>
      <c r="AQ12" s="562"/>
      <c r="AR12" s="561"/>
    </row>
    <row r="13" spans="2:44" x14ac:dyDescent="0.2">
      <c r="B13" s="573" t="s">
        <v>90</v>
      </c>
      <c r="C13" s="574"/>
      <c r="D13" s="574"/>
      <c r="E13" s="574"/>
      <c r="F13" s="574"/>
      <c r="G13" s="574"/>
      <c r="H13" s="575"/>
      <c r="I13" s="543" t="s">
        <v>228</v>
      </c>
      <c r="J13" s="543"/>
      <c r="K13" s="543"/>
      <c r="L13" s="543"/>
      <c r="M13" s="543"/>
      <c r="N13" s="543"/>
      <c r="O13" s="543"/>
      <c r="P13" s="543"/>
      <c r="Q13" s="543"/>
      <c r="R13" s="543"/>
      <c r="S13" s="543"/>
      <c r="T13" s="543"/>
      <c r="U13" s="543"/>
      <c r="V13" s="543"/>
      <c r="W13" s="543"/>
      <c r="X13" s="543"/>
      <c r="Y13" s="543"/>
      <c r="Z13" s="543"/>
      <c r="AA13" s="543"/>
      <c r="AB13" s="543"/>
      <c r="AC13" s="543"/>
      <c r="AD13" s="543"/>
      <c r="AE13" s="543"/>
      <c r="AF13" s="543"/>
      <c r="AG13" s="543"/>
    </row>
    <row r="14" spans="2:44" x14ac:dyDescent="0.2">
      <c r="B14" s="591" t="s">
        <v>91</v>
      </c>
      <c r="C14" s="592"/>
      <c r="D14" s="592"/>
      <c r="E14" s="592"/>
      <c r="F14" s="592"/>
      <c r="G14" s="592"/>
      <c r="H14" s="593"/>
      <c r="I14" s="594"/>
      <c r="J14" s="594"/>
      <c r="K14" s="594"/>
      <c r="L14" s="594"/>
      <c r="M14" s="594"/>
      <c r="N14" s="594"/>
      <c r="O14" s="594" t="s">
        <v>214</v>
      </c>
      <c r="P14" s="594"/>
      <c r="Q14" s="594"/>
      <c r="R14" s="594"/>
      <c r="S14" s="594"/>
      <c r="T14" s="594"/>
      <c r="U14" s="543"/>
      <c r="V14" s="543"/>
      <c r="W14" s="543"/>
      <c r="X14" s="543"/>
      <c r="Y14" s="543"/>
      <c r="Z14" s="543"/>
      <c r="AA14" s="543"/>
      <c r="AB14" s="543"/>
      <c r="AC14" s="543"/>
      <c r="AD14" s="543"/>
      <c r="AE14" s="543"/>
      <c r="AF14" s="543"/>
      <c r="AG14" s="543"/>
    </row>
    <row r="15" spans="2:44" ht="12.75" customHeight="1" x14ac:dyDescent="0.2">
      <c r="N15" s="540" t="s">
        <v>92</v>
      </c>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0"/>
      <c r="AO15" s="540"/>
      <c r="AP15" s="540"/>
      <c r="AQ15" s="540"/>
      <c r="AR15" s="540"/>
    </row>
    <row r="16" spans="2:44" x14ac:dyDescent="0.2">
      <c r="B16" s="560" t="s">
        <v>93</v>
      </c>
      <c r="C16" s="562"/>
      <c r="D16" s="562"/>
      <c r="E16" s="562"/>
      <c r="F16" s="562"/>
      <c r="G16" s="562"/>
      <c r="H16" s="562"/>
      <c r="I16" s="562"/>
      <c r="J16" s="562"/>
      <c r="K16" s="562"/>
      <c r="L16" s="561"/>
      <c r="N16" s="560" t="s">
        <v>94</v>
      </c>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2"/>
      <c r="AM16" s="562"/>
      <c r="AN16" s="562"/>
      <c r="AO16" s="562"/>
      <c r="AP16" s="562"/>
      <c r="AQ16" s="562"/>
      <c r="AR16" s="561"/>
    </row>
    <row r="17" spans="2:49" x14ac:dyDescent="0.2">
      <c r="B17" s="573" t="s">
        <v>95</v>
      </c>
      <c r="C17" s="574"/>
      <c r="D17" s="574"/>
      <c r="E17" s="574"/>
      <c r="F17" s="574"/>
      <c r="G17" s="575"/>
      <c r="H17" s="595">
        <f>MAX(COUNTA('BİLGİ GİRİŞİ'!A3:A100))</f>
        <v>48</v>
      </c>
      <c r="I17" s="596"/>
      <c r="J17" s="596"/>
      <c r="K17" s="596"/>
      <c r="L17" s="596"/>
      <c r="N17" s="573" t="s">
        <v>18</v>
      </c>
      <c r="O17" s="574"/>
      <c r="P17" s="574"/>
      <c r="Q17" s="574"/>
      <c r="R17" s="574"/>
      <c r="S17" s="574"/>
      <c r="T17" s="574"/>
      <c r="U17" s="574"/>
      <c r="V17" s="574"/>
      <c r="W17" s="575"/>
      <c r="X17" s="597" t="s">
        <v>96</v>
      </c>
      <c r="Y17" s="598"/>
      <c r="Z17" s="598"/>
      <c r="AA17" s="598"/>
      <c r="AB17" s="598"/>
      <c r="AC17" s="598"/>
      <c r="AD17" s="598"/>
      <c r="AE17" s="599"/>
      <c r="AF17" s="560" t="s">
        <v>97</v>
      </c>
      <c r="AG17" s="562"/>
      <c r="AH17" s="562"/>
      <c r="AI17" s="562"/>
      <c r="AJ17" s="561"/>
      <c r="AK17" s="560" t="s">
        <v>98</v>
      </c>
      <c r="AL17" s="562"/>
      <c r="AM17" s="562"/>
      <c r="AN17" s="562"/>
      <c r="AO17" s="562"/>
      <c r="AP17" s="562"/>
      <c r="AQ17" s="562"/>
      <c r="AR17" s="561"/>
    </row>
    <row r="18" spans="2:49" x14ac:dyDescent="0.2">
      <c r="B18" s="591" t="s">
        <v>99</v>
      </c>
      <c r="C18" s="592"/>
      <c r="D18" s="592"/>
      <c r="E18" s="592"/>
      <c r="F18" s="592"/>
      <c r="G18" s="593"/>
      <c r="H18" s="595">
        <f>BORDRO!D58</f>
        <v>76</v>
      </c>
      <c r="I18" s="596"/>
      <c r="J18" s="596"/>
      <c r="K18" s="596"/>
      <c r="L18" s="596"/>
      <c r="N18" s="591" t="s">
        <v>195</v>
      </c>
      <c r="O18" s="592"/>
      <c r="P18" s="592"/>
      <c r="Q18" s="592"/>
      <c r="R18" s="592"/>
      <c r="S18" s="592"/>
      <c r="T18" s="592"/>
      <c r="U18" s="592"/>
      <c r="V18" s="592"/>
      <c r="W18" s="593"/>
      <c r="X18" s="600">
        <f>BORDRO!O58</f>
        <v>19291.169999999998</v>
      </c>
      <c r="Y18" s="601"/>
      <c r="Z18" s="601"/>
      <c r="AA18" s="601"/>
      <c r="AB18" s="601"/>
      <c r="AC18" s="601"/>
      <c r="AD18" s="601"/>
      <c r="AE18" s="602"/>
      <c r="AF18" s="560">
        <v>2</v>
      </c>
      <c r="AG18" s="562"/>
      <c r="AH18" s="562"/>
      <c r="AI18" s="562"/>
      <c r="AJ18" s="561"/>
      <c r="AK18" s="600">
        <f>ROUND(MOD(X18*AF18/100,100000),2)</f>
        <v>385.82</v>
      </c>
      <c r="AL18" s="601"/>
      <c r="AM18" s="601"/>
      <c r="AN18" s="601"/>
      <c r="AO18" s="601"/>
      <c r="AP18" s="601"/>
      <c r="AQ18" s="601"/>
      <c r="AR18" s="602"/>
    </row>
    <row r="19" spans="2:49" x14ac:dyDescent="0.2">
      <c r="B19" s="581" t="s">
        <v>100</v>
      </c>
      <c r="C19" s="582"/>
      <c r="D19" s="583"/>
      <c r="E19" s="591" t="s">
        <v>101</v>
      </c>
      <c r="F19" s="592"/>
      <c r="G19" s="593"/>
      <c r="H19" s="596"/>
      <c r="I19" s="596"/>
      <c r="J19" s="596"/>
      <c r="K19" s="596"/>
      <c r="L19" s="596"/>
      <c r="N19" s="591" t="s">
        <v>196</v>
      </c>
      <c r="O19" s="592"/>
      <c r="P19" s="592"/>
      <c r="Q19" s="592"/>
      <c r="R19" s="592"/>
      <c r="S19" s="592"/>
      <c r="T19" s="592"/>
      <c r="U19" s="592"/>
      <c r="V19" s="592"/>
      <c r="W19" s="593"/>
      <c r="X19" s="600">
        <f>+X18</f>
        <v>19291.169999999998</v>
      </c>
      <c r="Y19" s="601"/>
      <c r="Z19" s="601"/>
      <c r="AA19" s="601"/>
      <c r="AB19" s="601"/>
      <c r="AC19" s="601"/>
      <c r="AD19" s="601"/>
      <c r="AE19" s="602"/>
      <c r="AF19" s="560">
        <v>20</v>
      </c>
      <c r="AG19" s="562"/>
      <c r="AH19" s="562"/>
      <c r="AI19" s="562"/>
      <c r="AJ19" s="561"/>
      <c r="AK19" s="600">
        <f>ROUND(MOD(X19*AF19/100,100000),2)</f>
        <v>3858.23</v>
      </c>
      <c r="AL19" s="601"/>
      <c r="AM19" s="601"/>
      <c r="AN19" s="601"/>
      <c r="AO19" s="601"/>
      <c r="AP19" s="601"/>
      <c r="AQ19" s="601"/>
      <c r="AR19" s="602"/>
      <c r="AW19" s="75"/>
    </row>
    <row r="20" spans="2:49" x14ac:dyDescent="0.2">
      <c r="B20" s="576"/>
      <c r="C20" s="577"/>
      <c r="D20" s="585"/>
      <c r="E20" s="591" t="s">
        <v>102</v>
      </c>
      <c r="F20" s="592"/>
      <c r="G20" s="593"/>
      <c r="H20" s="596"/>
      <c r="I20" s="596"/>
      <c r="J20" s="596"/>
      <c r="K20" s="596"/>
      <c r="L20" s="596"/>
      <c r="N20" s="591" t="s">
        <v>197</v>
      </c>
      <c r="O20" s="592"/>
      <c r="P20" s="592"/>
      <c r="Q20" s="592"/>
      <c r="R20" s="592"/>
      <c r="S20" s="592"/>
      <c r="T20" s="592"/>
      <c r="U20" s="592"/>
      <c r="V20" s="592"/>
      <c r="W20" s="593"/>
      <c r="X20" s="600">
        <f>+X19</f>
        <v>19291.169999999998</v>
      </c>
      <c r="Y20" s="601"/>
      <c r="Z20" s="601"/>
      <c r="AA20" s="601"/>
      <c r="AB20" s="601"/>
      <c r="AC20" s="601"/>
      <c r="AD20" s="601"/>
      <c r="AE20" s="602"/>
      <c r="AF20" s="603">
        <v>12.5</v>
      </c>
      <c r="AG20" s="604"/>
      <c r="AH20" s="604"/>
      <c r="AI20" s="604"/>
      <c r="AJ20" s="605"/>
      <c r="AK20" s="600">
        <f>ROUND(MOD(X20*AF20/100,100000),2)</f>
        <v>2411.4</v>
      </c>
      <c r="AL20" s="601"/>
      <c r="AM20" s="601"/>
      <c r="AN20" s="601"/>
      <c r="AO20" s="601"/>
      <c r="AP20" s="601"/>
      <c r="AQ20" s="601"/>
      <c r="AR20" s="602"/>
    </row>
    <row r="21" spans="2:49" x14ac:dyDescent="0.2">
      <c r="B21" s="606" t="s">
        <v>103</v>
      </c>
      <c r="C21" s="287"/>
      <c r="D21" s="288"/>
      <c r="E21" s="591" t="s">
        <v>104</v>
      </c>
      <c r="F21" s="592"/>
      <c r="G21" s="593"/>
      <c r="H21" s="543"/>
      <c r="I21" s="543"/>
      <c r="J21" s="543"/>
      <c r="K21" s="543"/>
      <c r="L21" s="543"/>
      <c r="N21" s="591"/>
      <c r="O21" s="592"/>
      <c r="P21" s="592"/>
      <c r="Q21" s="592"/>
      <c r="R21" s="592"/>
      <c r="S21" s="592"/>
      <c r="T21" s="592"/>
      <c r="U21" s="592"/>
      <c r="V21" s="592"/>
      <c r="W21" s="593"/>
      <c r="X21" s="600"/>
      <c r="Y21" s="601"/>
      <c r="Z21" s="601"/>
      <c r="AA21" s="601"/>
      <c r="AB21" s="601"/>
      <c r="AC21" s="601"/>
      <c r="AD21" s="601"/>
      <c r="AE21" s="602"/>
      <c r="AF21" s="560"/>
      <c r="AG21" s="562"/>
      <c r="AH21" s="562"/>
      <c r="AI21" s="562"/>
      <c r="AJ21" s="561"/>
      <c r="AK21" s="600"/>
      <c r="AL21" s="601"/>
      <c r="AM21" s="601"/>
      <c r="AN21" s="601"/>
      <c r="AO21" s="601"/>
      <c r="AP21" s="601"/>
      <c r="AQ21" s="601"/>
      <c r="AR21" s="602"/>
    </row>
    <row r="22" spans="2:49" x14ac:dyDescent="0.2">
      <c r="B22" s="289"/>
      <c r="C22" s="290"/>
      <c r="D22" s="291"/>
      <c r="E22" s="591" t="s">
        <v>105</v>
      </c>
      <c r="F22" s="592"/>
      <c r="G22" s="593"/>
      <c r="H22" s="543"/>
      <c r="I22" s="543"/>
      <c r="J22" s="543"/>
      <c r="K22" s="543"/>
      <c r="L22" s="543"/>
      <c r="N22" s="591"/>
      <c r="O22" s="592"/>
      <c r="P22" s="592"/>
      <c r="Q22" s="592"/>
      <c r="R22" s="592"/>
      <c r="S22" s="592"/>
      <c r="T22" s="592"/>
      <c r="U22" s="592"/>
      <c r="V22" s="592"/>
      <c r="W22" s="593"/>
      <c r="X22" s="600"/>
      <c r="Y22" s="601"/>
      <c r="Z22" s="601"/>
      <c r="AA22" s="601"/>
      <c r="AB22" s="601"/>
      <c r="AC22" s="601"/>
      <c r="AD22" s="601"/>
      <c r="AE22" s="602"/>
      <c r="AF22" s="560"/>
      <c r="AG22" s="562"/>
      <c r="AH22" s="562"/>
      <c r="AI22" s="562"/>
      <c r="AJ22" s="561"/>
      <c r="AK22" s="600"/>
      <c r="AL22" s="601"/>
      <c r="AM22" s="601"/>
      <c r="AN22" s="601"/>
      <c r="AO22" s="601"/>
      <c r="AP22" s="601"/>
      <c r="AQ22" s="601"/>
      <c r="AR22" s="602"/>
      <c r="AW22" s="57"/>
    </row>
    <row r="23" spans="2:49" x14ac:dyDescent="0.2">
      <c r="B23" s="606" t="s">
        <v>106</v>
      </c>
      <c r="C23" s="287"/>
      <c r="D23" s="288"/>
      <c r="E23" s="573" t="s">
        <v>104</v>
      </c>
      <c r="F23" s="574"/>
      <c r="G23" s="575"/>
      <c r="H23" s="543"/>
      <c r="I23" s="543"/>
      <c r="J23" s="543"/>
      <c r="K23" s="543"/>
      <c r="L23" s="543"/>
      <c r="N23" s="591"/>
      <c r="O23" s="592"/>
      <c r="P23" s="592"/>
      <c r="Q23" s="592"/>
      <c r="R23" s="592"/>
      <c r="S23" s="592"/>
      <c r="T23" s="592"/>
      <c r="U23" s="592"/>
      <c r="V23" s="592"/>
      <c r="W23" s="593"/>
      <c r="X23" s="600"/>
      <c r="Y23" s="601"/>
      <c r="Z23" s="601"/>
      <c r="AA23" s="601"/>
      <c r="AB23" s="601"/>
      <c r="AC23" s="601"/>
      <c r="AD23" s="601"/>
      <c r="AE23" s="602"/>
      <c r="AF23" s="560"/>
      <c r="AG23" s="562"/>
      <c r="AH23" s="562"/>
      <c r="AI23" s="562"/>
      <c r="AJ23" s="561"/>
      <c r="AK23" s="600"/>
      <c r="AL23" s="601"/>
      <c r="AM23" s="601"/>
      <c r="AN23" s="601"/>
      <c r="AO23" s="601"/>
      <c r="AP23" s="601"/>
      <c r="AQ23" s="601"/>
      <c r="AR23" s="602"/>
    </row>
    <row r="24" spans="2:49" x14ac:dyDescent="0.2">
      <c r="B24" s="621"/>
      <c r="C24" s="622"/>
      <c r="D24" s="623"/>
      <c r="E24" s="573" t="s">
        <v>105</v>
      </c>
      <c r="F24" s="574"/>
      <c r="G24" s="575"/>
      <c r="H24" s="543"/>
      <c r="I24" s="543"/>
      <c r="J24" s="543"/>
      <c r="K24" s="543"/>
      <c r="L24" s="543"/>
      <c r="N24" s="591"/>
      <c r="O24" s="592"/>
      <c r="P24" s="592"/>
      <c r="Q24" s="592"/>
      <c r="R24" s="592"/>
      <c r="S24" s="592"/>
      <c r="T24" s="592"/>
      <c r="U24" s="592"/>
      <c r="V24" s="592"/>
      <c r="W24" s="593"/>
      <c r="X24" s="600"/>
      <c r="Y24" s="601"/>
      <c r="Z24" s="601"/>
      <c r="AA24" s="601"/>
      <c r="AB24" s="601"/>
      <c r="AC24" s="601"/>
      <c r="AD24" s="601"/>
      <c r="AE24" s="602"/>
      <c r="AF24" s="560"/>
      <c r="AG24" s="562"/>
      <c r="AH24" s="562"/>
      <c r="AI24" s="562"/>
      <c r="AJ24" s="561"/>
      <c r="AK24" s="600"/>
      <c r="AL24" s="601"/>
      <c r="AM24" s="601"/>
      <c r="AN24" s="601"/>
      <c r="AO24" s="601"/>
      <c r="AP24" s="601"/>
      <c r="AQ24" s="601"/>
      <c r="AR24" s="602"/>
    </row>
    <row r="25" spans="2:49" x14ac:dyDescent="0.2">
      <c r="B25" s="289"/>
      <c r="C25" s="290"/>
      <c r="D25" s="291"/>
      <c r="E25" s="573" t="s">
        <v>107</v>
      </c>
      <c r="F25" s="574"/>
      <c r="G25" s="575"/>
      <c r="H25" s="543"/>
      <c r="I25" s="543"/>
      <c r="J25" s="543"/>
      <c r="K25" s="543"/>
      <c r="L25" s="543"/>
      <c r="N25" s="591" t="s">
        <v>19</v>
      </c>
      <c r="O25" s="592"/>
      <c r="P25" s="592"/>
      <c r="Q25" s="592"/>
      <c r="R25" s="592"/>
      <c r="S25" s="592"/>
      <c r="T25" s="592"/>
      <c r="U25" s="592"/>
      <c r="V25" s="592"/>
      <c r="W25" s="593"/>
      <c r="X25" s="600">
        <f>X18</f>
        <v>19291.169999999998</v>
      </c>
      <c r="Y25" s="601"/>
      <c r="Z25" s="601"/>
      <c r="AA25" s="601"/>
      <c r="AB25" s="601"/>
      <c r="AC25" s="601"/>
      <c r="AD25" s="601"/>
      <c r="AE25" s="602"/>
      <c r="AF25" s="560">
        <v>34.5</v>
      </c>
      <c r="AG25" s="562"/>
      <c r="AH25" s="562"/>
      <c r="AI25" s="562"/>
      <c r="AJ25" s="561"/>
      <c r="AK25" s="607">
        <f>SUM(AK18:AK24)</f>
        <v>6655.4500000000007</v>
      </c>
      <c r="AL25" s="608"/>
      <c r="AM25" s="608"/>
      <c r="AN25" s="608"/>
      <c r="AO25" s="608"/>
      <c r="AP25" s="608"/>
      <c r="AQ25" s="608"/>
      <c r="AR25" s="609"/>
    </row>
    <row r="26" spans="2:49" x14ac:dyDescent="0.2">
      <c r="B26" s="540" t="s">
        <v>108</v>
      </c>
      <c r="C26" s="586"/>
      <c r="D26" s="586"/>
      <c r="E26" s="586"/>
      <c r="F26" s="586"/>
      <c r="G26" s="586"/>
      <c r="H26" s="586"/>
      <c r="I26" s="586"/>
      <c r="J26" s="586"/>
      <c r="K26" s="586"/>
      <c r="L26" s="586"/>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row>
    <row r="27" spans="2:49" ht="12.75" customHeight="1" x14ac:dyDescent="0.2">
      <c r="B27" s="610" t="s">
        <v>13</v>
      </c>
      <c r="C27" s="612" t="s">
        <v>109</v>
      </c>
      <c r="D27" s="613"/>
      <c r="E27" s="614" t="s">
        <v>110</v>
      </c>
      <c r="F27" s="615"/>
      <c r="G27" s="615"/>
      <c r="H27" s="616"/>
      <c r="I27" s="614" t="s">
        <v>111</v>
      </c>
      <c r="J27" s="615"/>
      <c r="K27" s="615"/>
      <c r="L27" s="616"/>
      <c r="M27" s="615" t="s">
        <v>25</v>
      </c>
      <c r="N27" s="615"/>
      <c r="O27" s="615"/>
      <c r="P27" s="616"/>
      <c r="Q27" s="614" t="s">
        <v>26</v>
      </c>
      <c r="R27" s="615"/>
      <c r="S27" s="615"/>
      <c r="T27" s="616"/>
      <c r="U27" s="614" t="s">
        <v>112</v>
      </c>
      <c r="V27" s="615"/>
      <c r="W27" s="615"/>
      <c r="X27" s="616"/>
      <c r="Y27" s="610" t="s">
        <v>105</v>
      </c>
      <c r="Z27" s="619"/>
      <c r="AA27" s="614" t="s">
        <v>113</v>
      </c>
      <c r="AB27" s="615"/>
      <c r="AC27" s="615"/>
      <c r="AD27" s="616"/>
      <c r="AE27" s="542" t="s">
        <v>114</v>
      </c>
      <c r="AF27" s="542"/>
      <c r="AG27" s="542"/>
      <c r="AH27" s="542"/>
      <c r="AI27" s="618" t="s">
        <v>100</v>
      </c>
      <c r="AJ27" s="618"/>
      <c r="AK27" s="618"/>
      <c r="AL27" s="618"/>
      <c r="AM27" s="618"/>
      <c r="AN27" s="618"/>
      <c r="AO27" s="610" t="s">
        <v>115</v>
      </c>
      <c r="AP27" s="619"/>
      <c r="AQ27" s="610" t="s">
        <v>116</v>
      </c>
      <c r="AR27" s="619"/>
      <c r="AU27" s="55" t="s">
        <v>203</v>
      </c>
    </row>
    <row r="28" spans="2:49" ht="16.5" customHeight="1" x14ac:dyDescent="0.2">
      <c r="B28" s="611"/>
      <c r="C28" s="550"/>
      <c r="D28" s="552"/>
      <c r="E28" s="556"/>
      <c r="F28" s="617"/>
      <c r="G28" s="617"/>
      <c r="H28" s="557"/>
      <c r="I28" s="556"/>
      <c r="J28" s="617"/>
      <c r="K28" s="617"/>
      <c r="L28" s="557"/>
      <c r="M28" s="617"/>
      <c r="N28" s="617"/>
      <c r="O28" s="617"/>
      <c r="P28" s="557"/>
      <c r="Q28" s="556"/>
      <c r="R28" s="617"/>
      <c r="S28" s="617"/>
      <c r="T28" s="557"/>
      <c r="U28" s="556"/>
      <c r="V28" s="617"/>
      <c r="W28" s="617"/>
      <c r="X28" s="557"/>
      <c r="Y28" s="611"/>
      <c r="Z28" s="620"/>
      <c r="AA28" s="556"/>
      <c r="AB28" s="617"/>
      <c r="AC28" s="617"/>
      <c r="AD28" s="557"/>
      <c r="AE28" s="73" t="s">
        <v>117</v>
      </c>
      <c r="AF28" s="618" t="s">
        <v>107</v>
      </c>
      <c r="AG28" s="618"/>
      <c r="AH28" s="618"/>
      <c r="AI28" s="624" t="s">
        <v>118</v>
      </c>
      <c r="AJ28" s="624"/>
      <c r="AK28" s="624"/>
      <c r="AL28" s="625" t="s">
        <v>119</v>
      </c>
      <c r="AM28" s="626"/>
      <c r="AN28" s="627"/>
      <c r="AO28" s="611"/>
      <c r="AP28" s="620"/>
      <c r="AQ28" s="611"/>
      <c r="AR28" s="620"/>
    </row>
    <row r="29" spans="2:49" x14ac:dyDescent="0.2">
      <c r="B29" s="76"/>
      <c r="C29" s="628"/>
      <c r="D29" s="629"/>
      <c r="E29" s="630"/>
      <c r="F29" s="631"/>
      <c r="G29" s="631"/>
      <c r="H29" s="632"/>
      <c r="I29" s="630"/>
      <c r="J29" s="631"/>
      <c r="K29" s="631"/>
      <c r="L29" s="632"/>
      <c r="M29" s="633"/>
      <c r="N29" s="634"/>
      <c r="O29" s="634"/>
      <c r="P29" s="635"/>
      <c r="Q29" s="633"/>
      <c r="R29" s="634"/>
      <c r="S29" s="634"/>
      <c r="T29" s="635"/>
      <c r="U29" s="633"/>
      <c r="V29" s="634"/>
      <c r="W29" s="634"/>
      <c r="X29" s="635"/>
      <c r="Y29" s="655"/>
      <c r="Z29" s="656"/>
      <c r="AA29" s="642"/>
      <c r="AB29" s="643"/>
      <c r="AC29" s="643"/>
      <c r="AD29" s="644"/>
      <c r="AE29" s="86"/>
      <c r="AF29" s="628"/>
      <c r="AG29" s="660"/>
      <c r="AH29" s="629"/>
      <c r="AI29" s="636"/>
      <c r="AJ29" s="637"/>
      <c r="AK29" s="638"/>
      <c r="AL29" s="639"/>
      <c r="AM29" s="640"/>
      <c r="AN29" s="641"/>
      <c r="AO29" s="628"/>
      <c r="AP29" s="629"/>
      <c r="AQ29" s="628"/>
      <c r="AR29" s="629"/>
    </row>
    <row r="30" spans="2:49" x14ac:dyDescent="0.2">
      <c r="B30" s="84"/>
      <c r="C30" s="628"/>
      <c r="D30" s="629"/>
      <c r="E30" s="630"/>
      <c r="F30" s="631"/>
      <c r="G30" s="631"/>
      <c r="H30" s="632"/>
      <c r="I30" s="630"/>
      <c r="J30" s="631"/>
      <c r="K30" s="631"/>
      <c r="L30" s="632"/>
      <c r="M30" s="633"/>
      <c r="N30" s="634"/>
      <c r="O30" s="634"/>
      <c r="P30" s="635"/>
      <c r="Q30" s="633"/>
      <c r="R30" s="634"/>
      <c r="S30" s="634"/>
      <c r="T30" s="635"/>
      <c r="U30" s="633"/>
      <c r="V30" s="634"/>
      <c r="W30" s="634"/>
      <c r="X30" s="635"/>
      <c r="Y30" s="655"/>
      <c r="Z30" s="656"/>
      <c r="AA30" s="642"/>
      <c r="AB30" s="643"/>
      <c r="AC30" s="643"/>
      <c r="AD30" s="644"/>
      <c r="AE30" s="65"/>
      <c r="AF30" s="645"/>
      <c r="AG30" s="637"/>
      <c r="AH30" s="638"/>
      <c r="AI30" s="636"/>
      <c r="AJ30" s="637"/>
      <c r="AK30" s="638"/>
      <c r="AL30" s="639"/>
      <c r="AM30" s="640"/>
      <c r="AN30" s="641"/>
      <c r="AO30" s="628"/>
      <c r="AP30" s="629"/>
      <c r="AQ30" s="628"/>
      <c r="AR30" s="629"/>
    </row>
    <row r="31" spans="2:49" x14ac:dyDescent="0.2">
      <c r="B31" s="76"/>
      <c r="C31" s="628"/>
      <c r="D31" s="629"/>
      <c r="E31" s="630"/>
      <c r="F31" s="631"/>
      <c r="G31" s="631"/>
      <c r="H31" s="632"/>
      <c r="I31" s="630"/>
      <c r="J31" s="631"/>
      <c r="K31" s="631"/>
      <c r="L31" s="632"/>
      <c r="M31" s="633"/>
      <c r="N31" s="634"/>
      <c r="O31" s="634"/>
      <c r="P31" s="635"/>
      <c r="Q31" s="633"/>
      <c r="R31" s="634"/>
      <c r="S31" s="634"/>
      <c r="T31" s="635"/>
      <c r="U31" s="633"/>
      <c r="V31" s="634"/>
      <c r="W31" s="634"/>
      <c r="X31" s="635"/>
      <c r="Y31" s="655"/>
      <c r="Z31" s="656"/>
      <c r="AA31" s="657"/>
      <c r="AB31" s="658"/>
      <c r="AC31" s="658"/>
      <c r="AD31" s="659"/>
      <c r="AE31" s="85"/>
      <c r="AF31" s="646"/>
      <c r="AG31" s="647"/>
      <c r="AH31" s="648"/>
      <c r="AI31" s="649"/>
      <c r="AJ31" s="650"/>
      <c r="AK31" s="651"/>
      <c r="AL31" s="652"/>
      <c r="AM31" s="653"/>
      <c r="AN31" s="654"/>
      <c r="AO31" s="628"/>
      <c r="AP31" s="629"/>
      <c r="AQ31" s="628"/>
      <c r="AR31" s="629"/>
    </row>
    <row r="32" spans="2:49" x14ac:dyDescent="0.2">
      <c r="B32" s="76"/>
      <c r="C32" s="645"/>
      <c r="D32" s="638"/>
      <c r="E32" s="630"/>
      <c r="F32" s="631"/>
      <c r="G32" s="631"/>
      <c r="H32" s="632"/>
      <c r="I32" s="630"/>
      <c r="J32" s="631"/>
      <c r="K32" s="631"/>
      <c r="L32" s="632"/>
      <c r="M32" s="633"/>
      <c r="N32" s="634"/>
      <c r="O32" s="634"/>
      <c r="P32" s="635"/>
      <c r="Q32" s="633"/>
      <c r="R32" s="634"/>
      <c r="S32" s="634"/>
      <c r="T32" s="635"/>
      <c r="U32" s="633"/>
      <c r="V32" s="634"/>
      <c r="W32" s="634"/>
      <c r="X32" s="635"/>
      <c r="Y32" s="655"/>
      <c r="Z32" s="656"/>
      <c r="AA32" s="642"/>
      <c r="AB32" s="643"/>
      <c r="AC32" s="643"/>
      <c r="AD32" s="644"/>
      <c r="AE32" s="65"/>
      <c r="AF32" s="645"/>
      <c r="AG32" s="637"/>
      <c r="AH32" s="638"/>
      <c r="AI32" s="636"/>
      <c r="AJ32" s="637"/>
      <c r="AK32" s="638"/>
      <c r="AL32" s="639"/>
      <c r="AM32" s="640"/>
      <c r="AN32" s="641"/>
      <c r="AO32" s="628"/>
      <c r="AP32" s="629"/>
      <c r="AQ32" s="628"/>
      <c r="AR32" s="629"/>
    </row>
    <row r="33" spans="2:44" x14ac:dyDescent="0.2">
      <c r="B33" s="76"/>
      <c r="C33" s="628"/>
      <c r="D33" s="629"/>
      <c r="E33" s="630"/>
      <c r="F33" s="631"/>
      <c r="G33" s="631"/>
      <c r="H33" s="632"/>
      <c r="I33" s="630"/>
      <c r="J33" s="631"/>
      <c r="K33" s="631"/>
      <c r="L33" s="632"/>
      <c r="M33" s="633"/>
      <c r="N33" s="634"/>
      <c r="O33" s="634"/>
      <c r="P33" s="635"/>
      <c r="Q33" s="633"/>
      <c r="R33" s="634"/>
      <c r="S33" s="634"/>
      <c r="T33" s="635"/>
      <c r="U33" s="633"/>
      <c r="V33" s="634"/>
      <c r="W33" s="634"/>
      <c r="X33" s="635"/>
      <c r="Y33" s="655"/>
      <c r="Z33" s="656"/>
      <c r="AA33" s="642"/>
      <c r="AB33" s="643"/>
      <c r="AC33" s="643"/>
      <c r="AD33" s="644"/>
      <c r="AE33" s="86"/>
      <c r="AF33" s="628"/>
      <c r="AG33" s="660"/>
      <c r="AH33" s="629"/>
      <c r="AI33" s="636"/>
      <c r="AJ33" s="637"/>
      <c r="AK33" s="638"/>
      <c r="AL33" s="639"/>
      <c r="AM33" s="640"/>
      <c r="AN33" s="641"/>
      <c r="AO33" s="628"/>
      <c r="AP33" s="629"/>
      <c r="AQ33" s="628"/>
      <c r="AR33" s="629"/>
    </row>
    <row r="34" spans="2:44" x14ac:dyDescent="0.2">
      <c r="B34" s="76"/>
      <c r="C34" s="628"/>
      <c r="D34" s="629"/>
      <c r="E34" s="630"/>
      <c r="F34" s="631"/>
      <c r="G34" s="631"/>
      <c r="H34" s="632"/>
      <c r="I34" s="630"/>
      <c r="J34" s="631"/>
      <c r="K34" s="631"/>
      <c r="L34" s="632"/>
      <c r="M34" s="633"/>
      <c r="N34" s="634"/>
      <c r="O34" s="634"/>
      <c r="P34" s="635"/>
      <c r="Q34" s="633"/>
      <c r="R34" s="634"/>
      <c r="S34" s="634"/>
      <c r="T34" s="635"/>
      <c r="U34" s="633"/>
      <c r="V34" s="634"/>
      <c r="W34" s="634"/>
      <c r="X34" s="635"/>
      <c r="Y34" s="655"/>
      <c r="Z34" s="656"/>
      <c r="AA34" s="642"/>
      <c r="AB34" s="643"/>
      <c r="AC34" s="643"/>
      <c r="AD34" s="644"/>
      <c r="AE34" s="81"/>
      <c r="AF34" s="628"/>
      <c r="AG34" s="660"/>
      <c r="AH34" s="629"/>
      <c r="AI34" s="636"/>
      <c r="AJ34" s="637"/>
      <c r="AK34" s="638"/>
      <c r="AL34" s="639"/>
      <c r="AM34" s="640"/>
      <c r="AN34" s="641"/>
      <c r="AO34" s="628"/>
      <c r="AP34" s="629"/>
      <c r="AQ34" s="628"/>
      <c r="AR34" s="629"/>
    </row>
    <row r="35" spans="2:44" x14ac:dyDescent="0.2">
      <c r="B35" s="87"/>
      <c r="C35" s="628"/>
      <c r="D35" s="629"/>
      <c r="E35" s="630"/>
      <c r="F35" s="631"/>
      <c r="G35" s="631"/>
      <c r="H35" s="632"/>
      <c r="I35" s="630"/>
      <c r="J35" s="631"/>
      <c r="K35" s="631"/>
      <c r="L35" s="632"/>
      <c r="M35" s="633"/>
      <c r="N35" s="634"/>
      <c r="O35" s="634"/>
      <c r="P35" s="635"/>
      <c r="Q35" s="633"/>
      <c r="R35" s="634"/>
      <c r="S35" s="634"/>
      <c r="T35" s="635"/>
      <c r="U35" s="633"/>
      <c r="V35" s="634"/>
      <c r="W35" s="634"/>
      <c r="X35" s="635"/>
      <c r="Y35" s="655"/>
      <c r="Z35" s="656"/>
      <c r="AA35" s="642"/>
      <c r="AB35" s="643"/>
      <c r="AC35" s="643"/>
      <c r="AD35" s="644"/>
      <c r="AE35" s="88"/>
      <c r="AF35" s="661"/>
      <c r="AG35" s="660"/>
      <c r="AH35" s="629"/>
      <c r="AI35" s="636"/>
      <c r="AJ35" s="637"/>
      <c r="AK35" s="638"/>
      <c r="AL35" s="639"/>
      <c r="AM35" s="640"/>
      <c r="AN35" s="641"/>
      <c r="AO35" s="628"/>
      <c r="AP35" s="629"/>
      <c r="AQ35" s="628"/>
      <c r="AR35" s="629"/>
    </row>
    <row r="36" spans="2:44" x14ac:dyDescent="0.2">
      <c r="H36" s="539" t="s">
        <v>120</v>
      </c>
      <c r="I36" s="540"/>
      <c r="J36" s="540"/>
      <c r="K36" s="540"/>
      <c r="L36" s="540"/>
      <c r="M36" s="562"/>
      <c r="N36" s="562"/>
      <c r="O36" s="562"/>
      <c r="P36" s="561"/>
      <c r="Q36" s="628" t="s">
        <v>95</v>
      </c>
      <c r="R36" s="660"/>
      <c r="S36" s="660"/>
      <c r="T36" s="629"/>
      <c r="U36" s="628"/>
      <c r="V36" s="660"/>
      <c r="W36" s="660"/>
      <c r="X36" s="629"/>
      <c r="Y36" s="655"/>
      <c r="Z36" s="656"/>
      <c r="AA36" s="642"/>
      <c r="AB36" s="643"/>
      <c r="AC36" s="643"/>
      <c r="AD36" s="644"/>
      <c r="AE36" s="81"/>
      <c r="AF36" s="628"/>
      <c r="AG36" s="660"/>
      <c r="AH36" s="629"/>
    </row>
    <row r="37" spans="2:44" ht="7.5" customHeight="1" x14ac:dyDescent="0.2"/>
    <row r="38" spans="2:44" ht="10.5" customHeight="1" x14ac:dyDescent="0.2">
      <c r="B38" s="612" t="s">
        <v>215</v>
      </c>
      <c r="C38" s="667"/>
      <c r="D38" s="667"/>
      <c r="E38" s="667"/>
      <c r="F38" s="667"/>
      <c r="G38" s="667"/>
      <c r="H38" s="667"/>
      <c r="I38" s="667"/>
      <c r="J38" s="667"/>
      <c r="K38" s="667"/>
      <c r="L38" s="667"/>
      <c r="M38" s="667"/>
      <c r="N38" s="667"/>
      <c r="O38" s="667"/>
      <c r="P38" s="667"/>
      <c r="Q38" s="667"/>
      <c r="R38" s="667"/>
      <c r="S38" s="667"/>
      <c r="T38" s="667"/>
      <c r="U38" s="667"/>
      <c r="V38" s="667"/>
      <c r="W38" s="667"/>
      <c r="X38" s="667"/>
      <c r="Y38" s="667"/>
      <c r="Z38" s="667"/>
      <c r="AA38" s="667"/>
      <c r="AB38" s="667"/>
      <c r="AC38" s="667"/>
      <c r="AD38" s="613"/>
      <c r="AF38" s="614" t="s">
        <v>121</v>
      </c>
      <c r="AG38" s="615"/>
      <c r="AH38" s="615"/>
      <c r="AI38" s="615"/>
      <c r="AJ38" s="615"/>
      <c r="AK38" s="615"/>
      <c r="AL38" s="615"/>
      <c r="AM38" s="615"/>
      <c r="AN38" s="616"/>
      <c r="AO38" s="610" t="s">
        <v>122</v>
      </c>
      <c r="AP38" s="668"/>
      <c r="AQ38" s="668"/>
      <c r="AR38" s="619"/>
    </row>
    <row r="39" spans="2:44" ht="10.5" customHeight="1" x14ac:dyDescent="0.2">
      <c r="B39" s="550"/>
      <c r="C39" s="551"/>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2"/>
      <c r="AF39" s="556"/>
      <c r="AG39" s="617"/>
      <c r="AH39" s="617"/>
      <c r="AI39" s="617"/>
      <c r="AJ39" s="617"/>
      <c r="AK39" s="617"/>
      <c r="AL39" s="617"/>
      <c r="AM39" s="617"/>
      <c r="AN39" s="557"/>
      <c r="AO39" s="611"/>
      <c r="AP39" s="665"/>
      <c r="AQ39" s="665"/>
      <c r="AR39" s="620"/>
    </row>
    <row r="40" spans="2:44" ht="12.75" customHeight="1" x14ac:dyDescent="0.2">
      <c r="B40" s="610" t="s">
        <v>123</v>
      </c>
      <c r="C40" s="668"/>
      <c r="D40" s="668"/>
      <c r="E40" s="668"/>
      <c r="F40" s="668"/>
      <c r="G40" s="619"/>
      <c r="H40" s="669" t="s">
        <v>241</v>
      </c>
      <c r="I40" s="667"/>
      <c r="J40" s="667"/>
      <c r="K40" s="667"/>
      <c r="L40" s="667"/>
      <c r="M40" s="667"/>
      <c r="N40" s="667"/>
      <c r="O40" s="667"/>
      <c r="P40" s="613"/>
      <c r="Q40" s="614" t="s">
        <v>124</v>
      </c>
      <c r="R40" s="615"/>
      <c r="S40" s="615"/>
      <c r="T40" s="615"/>
      <c r="U40" s="615"/>
      <c r="V40" s="616"/>
      <c r="W40" s="612"/>
      <c r="X40" s="667"/>
      <c r="Y40" s="667"/>
      <c r="Z40" s="667"/>
      <c r="AA40" s="667"/>
      <c r="AB40" s="667"/>
      <c r="AC40" s="667"/>
      <c r="AD40" s="613"/>
      <c r="AE40" s="79"/>
      <c r="AF40" s="536"/>
      <c r="AG40" s="537"/>
      <c r="AH40" s="537"/>
      <c r="AI40" s="537"/>
      <c r="AJ40" s="537"/>
      <c r="AK40" s="537"/>
      <c r="AL40" s="537"/>
      <c r="AM40" s="537"/>
      <c r="AN40" s="538"/>
      <c r="AO40" s="58"/>
      <c r="AP40" s="59"/>
      <c r="AQ40" s="59"/>
      <c r="AR40" s="60"/>
    </row>
    <row r="41" spans="2:44" ht="12" customHeight="1" x14ac:dyDescent="0.2">
      <c r="B41" s="662"/>
      <c r="C41" s="663"/>
      <c r="D41" s="663"/>
      <c r="E41" s="663"/>
      <c r="F41" s="663"/>
      <c r="G41" s="664"/>
      <c r="H41" s="547"/>
      <c r="I41" s="548"/>
      <c r="J41" s="548"/>
      <c r="K41" s="548"/>
      <c r="L41" s="548"/>
      <c r="M41" s="548"/>
      <c r="N41" s="548"/>
      <c r="O41" s="548"/>
      <c r="P41" s="549"/>
      <c r="Q41" s="554"/>
      <c r="R41" s="670"/>
      <c r="S41" s="670"/>
      <c r="T41" s="670"/>
      <c r="U41" s="670"/>
      <c r="V41" s="555"/>
      <c r="W41" s="547"/>
      <c r="X41" s="548"/>
      <c r="Y41" s="548"/>
      <c r="Z41" s="548"/>
      <c r="AA41" s="548"/>
      <c r="AB41" s="548"/>
      <c r="AC41" s="548"/>
      <c r="AD41" s="549"/>
      <c r="AE41" s="79"/>
      <c r="AF41" s="672"/>
      <c r="AG41" s="586"/>
      <c r="AH41" s="586"/>
      <c r="AI41" s="586"/>
      <c r="AJ41" s="586"/>
      <c r="AK41" s="586"/>
      <c r="AL41" s="586"/>
      <c r="AM41" s="586"/>
      <c r="AN41" s="673"/>
      <c r="AO41" s="61"/>
      <c r="AP41" s="62"/>
      <c r="AQ41" s="63"/>
      <c r="AR41" s="64"/>
    </row>
    <row r="42" spans="2:44" x14ac:dyDescent="0.2">
      <c r="B42" s="662"/>
      <c r="C42" s="663"/>
      <c r="D42" s="663"/>
      <c r="E42" s="663"/>
      <c r="F42" s="663"/>
      <c r="G42" s="664"/>
      <c r="H42" s="671" t="s">
        <v>238</v>
      </c>
      <c r="I42" s="548"/>
      <c r="J42" s="548"/>
      <c r="K42" s="548"/>
      <c r="L42" s="548"/>
      <c r="M42" s="548"/>
      <c r="N42" s="548"/>
      <c r="O42" s="548"/>
      <c r="P42" s="549"/>
      <c r="Q42" s="554"/>
      <c r="R42" s="670"/>
      <c r="S42" s="670"/>
      <c r="T42" s="670"/>
      <c r="U42" s="670"/>
      <c r="V42" s="555"/>
      <c r="W42" s="547"/>
      <c r="X42" s="548"/>
      <c r="Y42" s="548"/>
      <c r="Z42" s="548"/>
      <c r="AA42" s="548"/>
      <c r="AB42" s="548"/>
      <c r="AC42" s="548"/>
      <c r="AD42" s="549"/>
      <c r="AE42" s="79"/>
      <c r="AF42" s="672"/>
      <c r="AG42" s="586"/>
      <c r="AH42" s="586"/>
      <c r="AI42" s="586"/>
      <c r="AJ42" s="586"/>
      <c r="AK42" s="586"/>
      <c r="AL42" s="586"/>
      <c r="AM42" s="586"/>
      <c r="AN42" s="673"/>
      <c r="AO42" s="662" t="s">
        <v>125</v>
      </c>
      <c r="AP42" s="663"/>
      <c r="AQ42" s="663"/>
      <c r="AR42" s="664"/>
    </row>
    <row r="43" spans="2:44" x14ac:dyDescent="0.2">
      <c r="B43" s="611"/>
      <c r="C43" s="665"/>
      <c r="D43" s="665"/>
      <c r="E43" s="665"/>
      <c r="F43" s="665"/>
      <c r="G43" s="620"/>
      <c r="H43" s="666">
        <f>'ÖDEME EMRİ'!N57</f>
        <v>0</v>
      </c>
      <c r="I43" s="551"/>
      <c r="J43" s="551"/>
      <c r="K43" s="551"/>
      <c r="L43" s="551"/>
      <c r="M43" s="551"/>
      <c r="N43" s="551"/>
      <c r="O43" s="551"/>
      <c r="P43" s="552"/>
      <c r="Q43" s="556"/>
      <c r="R43" s="617"/>
      <c r="S43" s="617"/>
      <c r="T43" s="617"/>
      <c r="U43" s="617"/>
      <c r="V43" s="557"/>
      <c r="W43" s="550"/>
      <c r="X43" s="551"/>
      <c r="Y43" s="551"/>
      <c r="Z43" s="551"/>
      <c r="AA43" s="551"/>
      <c r="AB43" s="551"/>
      <c r="AC43" s="551"/>
      <c r="AD43" s="552"/>
      <c r="AE43" s="79"/>
      <c r="AF43" s="539"/>
      <c r="AG43" s="540"/>
      <c r="AH43" s="540"/>
      <c r="AI43" s="540"/>
      <c r="AJ43" s="540"/>
      <c r="AK43" s="540"/>
      <c r="AL43" s="540"/>
      <c r="AM43" s="540"/>
      <c r="AN43" s="541"/>
      <c r="AO43" s="611"/>
      <c r="AP43" s="665"/>
      <c r="AQ43" s="665"/>
      <c r="AR43" s="620"/>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zoomScale="115" zoomScaleNormal="115" workbookViewId="0">
      <selection activeCell="G11" sqref="G4:G11"/>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6.42578125" customWidth="1"/>
    <col min="7" max="7" width="7.7109375" customWidth="1"/>
    <col min="8" max="8" width="4.140625" customWidth="1"/>
    <col min="9" max="9" width="3.5703125" customWidth="1"/>
    <col min="10" max="12" width="3.140625" customWidth="1"/>
    <col min="13" max="13" width="2.85546875" customWidth="1"/>
    <col min="14" max="14" width="2.7109375" customWidth="1"/>
    <col min="15" max="16" width="2.85546875" customWidth="1"/>
    <col min="17" max="20" width="3.28515625" customWidth="1"/>
    <col min="21" max="38" width="3" customWidth="1"/>
    <col min="39" max="40" width="3.28515625" customWidth="1"/>
  </cols>
  <sheetData>
    <row r="1" spans="1:40" x14ac:dyDescent="0.2">
      <c r="A1" s="404" t="s">
        <v>255</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274"/>
    </row>
    <row r="2" spans="1:40" x14ac:dyDescent="0.2">
      <c r="X2" s="1" t="s">
        <v>219</v>
      </c>
      <c r="Z2" s="191"/>
      <c r="AA2" s="191"/>
      <c r="AD2" s="66" t="str">
        <f>KONTROL!C1</f>
        <v>ŞUBAT</v>
      </c>
      <c r="AG2" s="1" t="s">
        <v>257</v>
      </c>
      <c r="AI2" s="674">
        <f>KONTROL!C2</f>
        <v>2022</v>
      </c>
      <c r="AJ2" s="674"/>
      <c r="AK2" s="674"/>
    </row>
    <row r="3" spans="1:40" s="196" customFormat="1" ht="42.6" customHeight="1" x14ac:dyDescent="0.2">
      <c r="A3" s="236" t="s">
        <v>256</v>
      </c>
      <c r="B3" s="236" t="s">
        <v>185</v>
      </c>
      <c r="C3" s="236" t="s">
        <v>186</v>
      </c>
      <c r="D3" s="235" t="s">
        <v>299</v>
      </c>
      <c r="E3" s="235" t="s">
        <v>297</v>
      </c>
      <c r="F3" s="235" t="s">
        <v>298</v>
      </c>
      <c r="G3" s="235" t="s">
        <v>5</v>
      </c>
      <c r="H3" s="273">
        <v>0</v>
      </c>
      <c r="I3" s="271">
        <v>1</v>
      </c>
      <c r="J3" s="273">
        <v>2</v>
      </c>
      <c r="K3" s="271">
        <v>3</v>
      </c>
      <c r="L3" s="273">
        <v>4</v>
      </c>
      <c r="M3" s="271">
        <v>5</v>
      </c>
      <c r="N3" s="273">
        <v>6</v>
      </c>
      <c r="O3" s="271">
        <v>7</v>
      </c>
      <c r="P3" s="273">
        <v>8</v>
      </c>
      <c r="Q3" s="271">
        <v>9</v>
      </c>
      <c r="R3" s="273">
        <v>10</v>
      </c>
      <c r="S3" s="271">
        <v>11</v>
      </c>
      <c r="T3" s="273">
        <v>12</v>
      </c>
      <c r="U3" s="271">
        <v>13</v>
      </c>
      <c r="V3" s="273">
        <v>14</v>
      </c>
      <c r="W3" s="271">
        <v>15</v>
      </c>
      <c r="X3" s="273">
        <v>16</v>
      </c>
      <c r="Y3" s="271">
        <v>17</v>
      </c>
      <c r="Z3" s="273">
        <v>18</v>
      </c>
      <c r="AA3" s="271">
        <v>19</v>
      </c>
      <c r="AB3" s="273">
        <v>20</v>
      </c>
      <c r="AC3" s="271">
        <v>21</v>
      </c>
      <c r="AD3" s="273">
        <v>22</v>
      </c>
      <c r="AE3" s="271">
        <v>23</v>
      </c>
      <c r="AF3" s="273">
        <v>24</v>
      </c>
      <c r="AG3" s="271">
        <v>25</v>
      </c>
      <c r="AH3" s="273">
        <v>26</v>
      </c>
      <c r="AI3" s="271">
        <v>27</v>
      </c>
      <c r="AJ3" s="273">
        <v>28</v>
      </c>
      <c r="AK3" s="271"/>
      <c r="AL3" s="273"/>
      <c r="AM3" s="271"/>
      <c r="AN3" s="266"/>
    </row>
    <row r="4" spans="1:40" ht="17.45" customHeight="1" x14ac:dyDescent="0.2">
      <c r="A4" s="161">
        <v>1</v>
      </c>
      <c r="B4" s="260" t="str">
        <f>'BİLGİ GİRİŞİ'!B3</f>
        <v>ESRA</v>
      </c>
      <c r="C4" s="238" t="str">
        <f>'BİLGİ GİRİŞİ'!C3</f>
        <v>GÜMÜŞ</v>
      </c>
      <c r="D4" s="270"/>
      <c r="E4" s="270">
        <f>SUM(H4:AN4)</f>
        <v>102</v>
      </c>
      <c r="F4" s="270"/>
      <c r="G4" s="270">
        <f>SUM(E4:F4)</f>
        <v>102</v>
      </c>
      <c r="H4" s="244"/>
      <c r="I4" s="244"/>
      <c r="J4" s="244"/>
      <c r="K4" s="244"/>
      <c r="L4" s="244"/>
      <c r="M4" s="243"/>
      <c r="N4" s="243"/>
      <c r="O4" s="244">
        <v>6</v>
      </c>
      <c r="P4" s="244">
        <v>6</v>
      </c>
      <c r="Q4" s="244">
        <v>6</v>
      </c>
      <c r="R4" s="244">
        <v>6</v>
      </c>
      <c r="S4" s="244">
        <v>6</v>
      </c>
      <c r="T4" s="243"/>
      <c r="U4" s="243"/>
      <c r="V4" s="244">
        <v>6</v>
      </c>
      <c r="W4" s="244">
        <v>6</v>
      </c>
      <c r="X4" s="244">
        <v>6</v>
      </c>
      <c r="Y4" s="244">
        <v>6</v>
      </c>
      <c r="Z4" s="244">
        <v>6</v>
      </c>
      <c r="AA4" s="243"/>
      <c r="AB4" s="243"/>
      <c r="AC4" s="244">
        <v>6</v>
      </c>
      <c r="AD4" s="244">
        <v>6</v>
      </c>
      <c r="AE4" s="244">
        <v>6</v>
      </c>
      <c r="AF4" s="244">
        <v>12</v>
      </c>
      <c r="AG4" s="244">
        <v>6</v>
      </c>
      <c r="AH4" s="243"/>
      <c r="AI4" s="243"/>
      <c r="AJ4" s="244">
        <v>6</v>
      </c>
      <c r="AK4" s="239"/>
      <c r="AL4" s="244"/>
      <c r="AM4" s="244"/>
      <c r="AN4" s="239"/>
    </row>
    <row r="5" spans="1:40" x14ac:dyDescent="0.2">
      <c r="A5" s="161">
        <v>2</v>
      </c>
      <c r="B5" s="260" t="str">
        <f>'BİLGİ GİRİŞİ'!B4</f>
        <v>ŞERİFE</v>
      </c>
      <c r="C5" s="238" t="str">
        <f>'BİLGİ GİRİŞİ'!C4</f>
        <v>GÜNAL</v>
      </c>
      <c r="D5" s="270"/>
      <c r="E5" s="270"/>
      <c r="F5" s="270">
        <f>SUM(H5:AN5)</f>
        <v>105</v>
      </c>
      <c r="G5" s="270">
        <f t="shared" ref="G5:G6" si="0">SUM(E5:F5)</f>
        <v>105</v>
      </c>
      <c r="H5" s="267"/>
      <c r="I5" s="267"/>
      <c r="J5" s="267"/>
      <c r="K5" s="267"/>
      <c r="L5" s="267"/>
      <c r="M5" s="194"/>
      <c r="N5" s="194"/>
      <c r="O5" s="267">
        <v>8</v>
      </c>
      <c r="P5" s="267">
        <v>7</v>
      </c>
      <c r="Q5" s="267">
        <v>8</v>
      </c>
      <c r="R5" s="267">
        <v>7</v>
      </c>
      <c r="S5" s="267"/>
      <c r="T5" s="194"/>
      <c r="U5" s="194"/>
      <c r="V5" s="273">
        <v>8</v>
      </c>
      <c r="W5" s="273">
        <v>7</v>
      </c>
      <c r="X5" s="273">
        <v>8</v>
      </c>
      <c r="Y5" s="273">
        <v>7</v>
      </c>
      <c r="Z5" s="273"/>
      <c r="AA5" s="194"/>
      <c r="AB5" s="194"/>
      <c r="AC5" s="273">
        <v>8</v>
      </c>
      <c r="AD5" s="273">
        <v>7</v>
      </c>
      <c r="AE5" s="273">
        <v>8</v>
      </c>
      <c r="AF5" s="273">
        <v>14</v>
      </c>
      <c r="AG5" s="273"/>
      <c r="AH5" s="194"/>
      <c r="AI5" s="194"/>
      <c r="AJ5" s="273">
        <v>8</v>
      </c>
      <c r="AK5" s="263"/>
      <c r="AL5" s="264"/>
      <c r="AM5" s="264"/>
      <c r="AN5" s="263"/>
    </row>
    <row r="6" spans="1:40" x14ac:dyDescent="0.2">
      <c r="A6" s="161">
        <v>3</v>
      </c>
      <c r="B6" s="260" t="str">
        <f>'BİLGİ GİRİŞİ'!B5</f>
        <v>HATİCE</v>
      </c>
      <c r="C6" s="238" t="str">
        <f>'BİLGİ GİRİŞİ'!C5</f>
        <v>SUCU</v>
      </c>
      <c r="D6" s="270"/>
      <c r="E6" s="270"/>
      <c r="F6" s="270">
        <f>SUM(H6:AN6)</f>
        <v>34</v>
      </c>
      <c r="G6" s="270">
        <f t="shared" si="0"/>
        <v>34</v>
      </c>
      <c r="H6" s="267"/>
      <c r="I6" s="267"/>
      <c r="J6" s="267"/>
      <c r="K6" s="267"/>
      <c r="L6" s="244"/>
      <c r="M6" s="194"/>
      <c r="N6" s="194"/>
      <c r="O6" s="267">
        <v>9</v>
      </c>
      <c r="P6" s="267">
        <v>7</v>
      </c>
      <c r="Q6" s="267"/>
      <c r="R6" s="267"/>
      <c r="S6" s="244"/>
      <c r="T6" s="194"/>
      <c r="U6" s="194"/>
      <c r="V6" s="273">
        <v>9</v>
      </c>
      <c r="W6" s="273"/>
      <c r="X6" s="273"/>
      <c r="Y6" s="273"/>
      <c r="Z6" s="244"/>
      <c r="AA6" s="194"/>
      <c r="AB6" s="194"/>
      <c r="AC6" s="273"/>
      <c r="AD6" s="273"/>
      <c r="AE6" s="273"/>
      <c r="AF6" s="273"/>
      <c r="AG6" s="244"/>
      <c r="AH6" s="194"/>
      <c r="AI6" s="194"/>
      <c r="AJ6" s="273">
        <v>9</v>
      </c>
      <c r="AK6" s="263"/>
      <c r="AL6" s="264"/>
      <c r="AM6" s="264"/>
      <c r="AN6" s="197"/>
    </row>
    <row r="7" spans="1:40" x14ac:dyDescent="0.2">
      <c r="A7" s="161">
        <v>4</v>
      </c>
      <c r="B7" s="260" t="str">
        <f>'BİLGİ GİRİŞİ'!B6</f>
        <v>YASİN</v>
      </c>
      <c r="C7" s="238" t="str">
        <f>'BİLGİ GİRİŞİ'!C6</f>
        <v>DAYANKAÇ</v>
      </c>
      <c r="D7" s="270">
        <f>M7+T7+AA7+AH7</f>
        <v>8</v>
      </c>
      <c r="E7" s="270"/>
      <c r="F7" s="270">
        <f>SUM(H7:AN7)-D7</f>
        <v>58</v>
      </c>
      <c r="G7" s="270">
        <f>SUM(D7:F7)</f>
        <v>66</v>
      </c>
      <c r="H7" s="267"/>
      <c r="I7" s="269"/>
      <c r="J7" s="267"/>
      <c r="K7" s="267"/>
      <c r="L7" s="267"/>
      <c r="M7" s="268"/>
      <c r="N7" s="194"/>
      <c r="O7" s="267"/>
      <c r="P7" s="269"/>
      <c r="Q7" s="267"/>
      <c r="R7" s="267"/>
      <c r="S7" s="267"/>
      <c r="T7" s="245"/>
      <c r="U7" s="194"/>
      <c r="V7" s="273"/>
      <c r="W7" s="269"/>
      <c r="X7" s="273">
        <v>8</v>
      </c>
      <c r="Y7" s="273">
        <v>6</v>
      </c>
      <c r="Z7" s="273">
        <v>8</v>
      </c>
      <c r="AA7" s="245">
        <v>4</v>
      </c>
      <c r="AB7" s="194"/>
      <c r="AC7" s="273">
        <v>4</v>
      </c>
      <c r="AD7" s="269"/>
      <c r="AE7" s="273">
        <v>8</v>
      </c>
      <c r="AF7" s="273">
        <v>12</v>
      </c>
      <c r="AG7" s="273">
        <v>8</v>
      </c>
      <c r="AH7" s="245">
        <v>4</v>
      </c>
      <c r="AI7" s="194"/>
      <c r="AJ7" s="273">
        <v>4</v>
      </c>
      <c r="AK7" s="246"/>
      <c r="AL7" s="264"/>
      <c r="AM7" s="264"/>
      <c r="AN7" s="263"/>
    </row>
    <row r="8" spans="1:40" x14ac:dyDescent="0.2">
      <c r="A8" s="161">
        <v>5</v>
      </c>
      <c r="B8" s="260" t="str">
        <f>'BİLGİ GİRİŞİ'!B7</f>
        <v>REFİYE RANA</v>
      </c>
      <c r="C8" s="238" t="str">
        <f>'BİLGİ GİRİŞİ'!C7</f>
        <v>TOK</v>
      </c>
      <c r="D8" s="270">
        <f>M8+T8+AA8+AH8</f>
        <v>6</v>
      </c>
      <c r="E8" s="270">
        <f>K8+L8+R8+S8+Y8+Z8+AF8+AG8+AM8+AN8</f>
        <v>35</v>
      </c>
      <c r="F8" s="270">
        <f>H8+I8+J8+O8+P8+Q8+V8+W8+X8+AC8+AD8+AE8+AJ8+AK8+AL8</f>
        <v>62</v>
      </c>
      <c r="G8" s="270">
        <f>SUM(D8:F8)</f>
        <v>103</v>
      </c>
      <c r="H8" s="267"/>
      <c r="I8" s="267"/>
      <c r="J8" s="267"/>
      <c r="K8" s="244"/>
      <c r="L8" s="244"/>
      <c r="M8" s="268"/>
      <c r="N8" s="194"/>
      <c r="O8" s="267">
        <v>8</v>
      </c>
      <c r="P8" s="267">
        <v>8</v>
      </c>
      <c r="Q8" s="267">
        <v>7</v>
      </c>
      <c r="R8" s="244">
        <v>7</v>
      </c>
      <c r="S8" s="244">
        <v>7</v>
      </c>
      <c r="T8" s="245">
        <v>3</v>
      </c>
      <c r="U8" s="194"/>
      <c r="V8" s="273">
        <v>8</v>
      </c>
      <c r="W8" s="273">
        <v>8</v>
      </c>
      <c r="X8" s="273"/>
      <c r="Y8" s="244"/>
      <c r="Z8" s="244"/>
      <c r="AA8" s="245"/>
      <c r="AB8" s="194"/>
      <c r="AC8" s="273"/>
      <c r="AD8" s="273">
        <v>8</v>
      </c>
      <c r="AE8" s="273">
        <v>7</v>
      </c>
      <c r="AF8" s="244">
        <v>14</v>
      </c>
      <c r="AG8" s="244">
        <v>7</v>
      </c>
      <c r="AH8" s="245">
        <v>3</v>
      </c>
      <c r="AI8" s="194"/>
      <c r="AJ8" s="273">
        <v>8</v>
      </c>
      <c r="AK8" s="263"/>
      <c r="AL8" s="264"/>
      <c r="AM8" s="244"/>
      <c r="AN8" s="239"/>
    </row>
    <row r="9" spans="1:40" x14ac:dyDescent="0.2">
      <c r="A9" s="161">
        <v>6</v>
      </c>
      <c r="B9" s="260" t="str">
        <f>'BİLGİ GİRİŞİ'!B8</f>
        <v>YUSUF</v>
      </c>
      <c r="C9" s="238" t="str">
        <f>'BİLGİ GİRİŞİ'!C8</f>
        <v>ARABACI</v>
      </c>
      <c r="D9" s="161"/>
      <c r="E9" s="161"/>
      <c r="F9" s="161">
        <f>SUM(H9:AN9)</f>
        <v>54</v>
      </c>
      <c r="G9" s="161">
        <f>SUM(E9:F9)</f>
        <v>54</v>
      </c>
      <c r="H9" s="261"/>
      <c r="I9" s="262"/>
      <c r="J9" s="262"/>
      <c r="K9" s="197"/>
      <c r="L9" s="242"/>
      <c r="M9" s="194"/>
      <c r="N9" s="194"/>
      <c r="O9" s="272">
        <v>6</v>
      </c>
      <c r="P9" s="273"/>
      <c r="Q9" s="273">
        <v>6</v>
      </c>
      <c r="R9" s="272">
        <v>3</v>
      </c>
      <c r="S9" s="273"/>
      <c r="T9" s="245">
        <v>6</v>
      </c>
      <c r="U9" s="194"/>
      <c r="V9" s="272">
        <v>6</v>
      </c>
      <c r="W9" s="273"/>
      <c r="X9" s="273"/>
      <c r="Y9" s="272"/>
      <c r="Z9" s="273"/>
      <c r="AA9" s="245"/>
      <c r="AB9" s="194"/>
      <c r="AC9" s="272">
        <v>6</v>
      </c>
      <c r="AD9" s="273"/>
      <c r="AE9" s="273">
        <v>6</v>
      </c>
      <c r="AF9" s="272">
        <v>3</v>
      </c>
      <c r="AG9" s="273"/>
      <c r="AH9" s="245">
        <v>6</v>
      </c>
      <c r="AI9" s="194"/>
      <c r="AJ9" s="272">
        <v>6</v>
      </c>
      <c r="AK9" s="262"/>
      <c r="AL9" s="264"/>
      <c r="AM9" s="197"/>
      <c r="AN9" s="263"/>
    </row>
    <row r="10" spans="1:40" x14ac:dyDescent="0.2">
      <c r="A10" s="161">
        <v>7</v>
      </c>
      <c r="B10" s="260" t="str">
        <f>'BİLGİ GİRİŞİ'!B9</f>
        <v>ASLI</v>
      </c>
      <c r="C10" s="238" t="str">
        <f>'BİLGİ GİRİŞİ'!C9</f>
        <v>ÜSTELİK</v>
      </c>
      <c r="D10" s="161"/>
      <c r="E10" s="161"/>
      <c r="F10" s="161">
        <f>SUM(H10:AN10)</f>
        <v>86</v>
      </c>
      <c r="G10" s="161">
        <f>SUM(E10:F10)</f>
        <v>86</v>
      </c>
      <c r="H10" s="261"/>
      <c r="I10" s="262"/>
      <c r="J10" s="262"/>
      <c r="K10" s="197"/>
      <c r="L10" s="242"/>
      <c r="M10" s="194"/>
      <c r="N10" s="194"/>
      <c r="O10" s="261">
        <v>8</v>
      </c>
      <c r="P10" s="262">
        <v>9</v>
      </c>
      <c r="Q10" s="262"/>
      <c r="R10" s="197"/>
      <c r="S10" s="262">
        <v>7</v>
      </c>
      <c r="T10" s="194"/>
      <c r="U10" s="194"/>
      <c r="V10" s="272">
        <v>8</v>
      </c>
      <c r="W10" s="273">
        <v>9</v>
      </c>
      <c r="X10" s="273">
        <v>6</v>
      </c>
      <c r="Y10" s="197"/>
      <c r="Z10" s="273">
        <v>7</v>
      </c>
      <c r="AA10" s="194"/>
      <c r="AB10" s="194"/>
      <c r="AC10" s="272">
        <v>8</v>
      </c>
      <c r="AD10" s="273">
        <v>9</v>
      </c>
      <c r="AE10" s="273"/>
      <c r="AF10" s="197"/>
      <c r="AG10" s="273">
        <v>7</v>
      </c>
      <c r="AH10" s="194"/>
      <c r="AI10" s="194"/>
      <c r="AJ10" s="272">
        <v>8</v>
      </c>
      <c r="AK10" s="262"/>
      <c r="AL10" s="264"/>
      <c r="AM10" s="197"/>
      <c r="AN10" s="263"/>
    </row>
    <row r="11" spans="1:40" x14ac:dyDescent="0.2">
      <c r="A11" s="161">
        <v>8</v>
      </c>
      <c r="B11" s="161"/>
      <c r="C11" s="161"/>
      <c r="D11" s="161"/>
      <c r="E11" s="161"/>
      <c r="F11" s="161"/>
      <c r="G11" s="161"/>
      <c r="H11" s="261"/>
      <c r="I11" s="262"/>
      <c r="J11" s="262"/>
      <c r="K11" s="197"/>
      <c r="L11" s="242"/>
      <c r="M11" s="194"/>
      <c r="N11" s="194"/>
      <c r="O11" s="261"/>
      <c r="P11" s="262"/>
      <c r="Q11" s="262"/>
      <c r="R11" s="197"/>
      <c r="S11" s="262"/>
      <c r="T11" s="194"/>
      <c r="U11" s="194"/>
      <c r="V11" s="261"/>
      <c r="W11" s="262"/>
      <c r="X11" s="262"/>
      <c r="Y11" s="197"/>
      <c r="Z11" s="262"/>
      <c r="AA11" s="194"/>
      <c r="AB11" s="194"/>
      <c r="AC11" s="261"/>
      <c r="AD11" s="262"/>
      <c r="AE11" s="262"/>
      <c r="AF11" s="197"/>
      <c r="AG11" s="262"/>
      <c r="AH11" s="194"/>
      <c r="AI11" s="194"/>
      <c r="AJ11" s="261"/>
      <c r="AK11" s="262"/>
      <c r="AL11" s="264"/>
      <c r="AM11" s="197"/>
      <c r="AN11" s="263"/>
    </row>
    <row r="12" spans="1:40" x14ac:dyDescent="0.2">
      <c r="A12" s="161"/>
      <c r="B12" s="161"/>
      <c r="C12" s="161" t="s">
        <v>5</v>
      </c>
      <c r="D12" s="161"/>
      <c r="E12" s="161"/>
      <c r="F12" s="237">
        <f>SUM(F4:F6)</f>
        <v>139</v>
      </c>
      <c r="G12" s="155">
        <f>SUM(G4:G10)</f>
        <v>550</v>
      </c>
      <c r="H12" s="261"/>
      <c r="I12" s="262"/>
      <c r="J12" s="262"/>
      <c r="K12" s="197"/>
      <c r="L12" s="242"/>
      <c r="M12" s="194"/>
      <c r="N12" s="194"/>
      <c r="O12" s="261"/>
      <c r="P12" s="262"/>
      <c r="Q12" s="262"/>
      <c r="R12" s="197"/>
      <c r="S12" s="262"/>
      <c r="T12" s="194"/>
      <c r="U12" s="194"/>
      <c r="V12" s="261"/>
      <c r="W12" s="262"/>
      <c r="X12" s="262"/>
      <c r="Y12" s="197"/>
      <c r="Z12" s="262"/>
      <c r="AA12" s="194"/>
      <c r="AB12" s="194"/>
      <c r="AC12" s="261"/>
      <c r="AD12" s="262"/>
      <c r="AE12" s="262"/>
      <c r="AF12" s="197"/>
      <c r="AG12" s="262"/>
      <c r="AH12" s="194"/>
      <c r="AI12" s="194"/>
      <c r="AJ12" s="261"/>
      <c r="AK12" s="262"/>
      <c r="AL12" s="264"/>
      <c r="AM12" s="197"/>
      <c r="AN12" s="263"/>
    </row>
    <row r="13" spans="1:40" hidden="1" x14ac:dyDescent="0.2">
      <c r="A13" s="161">
        <v>10</v>
      </c>
      <c r="B13" s="161">
        <f>'BİLGİ GİRİŞİ'!B12</f>
        <v>0</v>
      </c>
      <c r="C13" s="161">
        <f>'BİLGİ GİRİŞİ'!C12</f>
        <v>0</v>
      </c>
      <c r="D13" s="161"/>
      <c r="E13" s="161"/>
      <c r="F13" s="161">
        <f t="shared" ref="F13:F18" si="1">SUM(H13:AL13)</f>
        <v>0</v>
      </c>
      <c r="G13" s="161"/>
      <c r="H13" s="165"/>
      <c r="I13" s="165"/>
      <c r="J13" s="186"/>
      <c r="K13" s="186"/>
      <c r="L13" s="165"/>
      <c r="M13" s="165"/>
      <c r="N13" s="165"/>
      <c r="O13" s="165"/>
      <c r="P13" s="165"/>
      <c r="Q13" s="165"/>
      <c r="R13" s="165"/>
      <c r="S13" s="165"/>
      <c r="T13" s="165"/>
      <c r="U13" s="162"/>
      <c r="V13" s="165"/>
      <c r="W13" s="165"/>
      <c r="X13" s="165"/>
      <c r="Y13" s="165"/>
      <c r="Z13" s="165"/>
      <c r="AA13" s="165"/>
      <c r="AB13" s="165"/>
      <c r="AC13" s="165"/>
      <c r="AD13" s="165"/>
      <c r="AE13" s="165"/>
      <c r="AF13" s="165"/>
      <c r="AG13" s="165"/>
      <c r="AH13" s="165"/>
      <c r="AI13" s="161"/>
      <c r="AJ13" s="161"/>
      <c r="AK13" s="194"/>
      <c r="AL13" s="265"/>
    </row>
    <row r="14" spans="1:40" hidden="1" x14ac:dyDescent="0.2">
      <c r="A14" s="161">
        <v>11</v>
      </c>
      <c r="B14" s="161">
        <f>'BİLGİ GİRİŞİ'!B13</f>
        <v>0</v>
      </c>
      <c r="C14" s="161">
        <f>'BİLGİ GİRİŞİ'!C13</f>
        <v>0</v>
      </c>
      <c r="D14" s="161"/>
      <c r="E14" s="161"/>
      <c r="F14" s="161">
        <f t="shared" si="1"/>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61"/>
      <c r="AL14" s="161"/>
    </row>
    <row r="15" spans="1:40" hidden="1" x14ac:dyDescent="0.2">
      <c r="A15" s="161">
        <v>12</v>
      </c>
      <c r="B15" s="161">
        <f>'BİLGİ GİRİŞİ'!B14</f>
        <v>0</v>
      </c>
      <c r="C15" s="161">
        <f>'BİLGİ GİRİŞİ'!C14</f>
        <v>0</v>
      </c>
      <c r="D15" s="161"/>
      <c r="E15" s="161"/>
      <c r="F15" s="161">
        <f t="shared" si="1"/>
        <v>0</v>
      </c>
      <c r="G15" s="161"/>
      <c r="H15" s="166"/>
      <c r="I15" s="166"/>
      <c r="J15" s="166"/>
      <c r="K15" s="166"/>
      <c r="L15" s="166"/>
      <c r="M15" s="166"/>
      <c r="N15" s="166"/>
      <c r="O15" s="166"/>
      <c r="P15" s="166"/>
      <c r="Q15" s="166"/>
      <c r="R15" s="166"/>
      <c r="S15" s="166"/>
      <c r="T15" s="166"/>
      <c r="U15" s="162"/>
      <c r="V15" s="166"/>
      <c r="W15" s="166"/>
      <c r="X15" s="166"/>
      <c r="Y15" s="166"/>
      <c r="Z15" s="166"/>
      <c r="AA15" s="166"/>
      <c r="AB15" s="166"/>
      <c r="AC15" s="166"/>
      <c r="AD15" s="166"/>
      <c r="AE15" s="166"/>
      <c r="AF15" s="166"/>
      <c r="AG15" s="166"/>
      <c r="AH15" s="166"/>
      <c r="AI15" s="156"/>
      <c r="AJ15" s="156"/>
      <c r="AK15" s="156"/>
      <c r="AL15" s="156"/>
    </row>
    <row r="16" spans="1:40" hidden="1" x14ac:dyDescent="0.2">
      <c r="A16" s="161">
        <v>13</v>
      </c>
      <c r="B16" s="161">
        <f>'BİLGİ GİRİŞİ'!B15</f>
        <v>0</v>
      </c>
      <c r="C16" s="161">
        <f>'BİLGİ GİRİŞİ'!C15</f>
        <v>0</v>
      </c>
      <c r="D16" s="161"/>
      <c r="E16" s="161"/>
      <c r="F16" s="161">
        <f t="shared" si="1"/>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14</v>
      </c>
      <c r="B17" s="161">
        <f>'BİLGİ GİRİŞİ'!B16</f>
        <v>0</v>
      </c>
      <c r="C17" s="161">
        <f>'BİLGİ GİRİŞİ'!C16</f>
        <v>0</v>
      </c>
      <c r="D17" s="161"/>
      <c r="E17" s="161"/>
      <c r="F17" s="161">
        <f t="shared" si="1"/>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15</v>
      </c>
      <c r="B18" s="161">
        <f>'BİLGİ GİRİŞİ'!B17</f>
        <v>0</v>
      </c>
      <c r="C18" s="161">
        <f>'BİLGİ GİRİŞİ'!C17</f>
        <v>0</v>
      </c>
      <c r="D18" s="161"/>
      <c r="E18" s="161"/>
      <c r="F18" s="161">
        <f t="shared" si="1"/>
        <v>0</v>
      </c>
      <c r="G18" s="161"/>
      <c r="H18" s="166"/>
      <c r="I18" s="166"/>
      <c r="J18" s="166"/>
      <c r="K18" s="166"/>
      <c r="L18" s="166"/>
      <c r="M18" s="166"/>
      <c r="N18" s="166"/>
      <c r="O18" s="166"/>
      <c r="P18" s="166"/>
      <c r="Q18" s="166"/>
      <c r="R18" s="166"/>
      <c r="S18" s="166"/>
      <c r="T18" s="166"/>
      <c r="U18" s="176"/>
      <c r="V18" s="166"/>
      <c r="W18" s="166"/>
      <c r="X18" s="166"/>
      <c r="Y18" s="166"/>
      <c r="Z18" s="166"/>
      <c r="AA18" s="166"/>
      <c r="AB18" s="166"/>
      <c r="AC18" s="166"/>
      <c r="AD18" s="166"/>
      <c r="AE18" s="166"/>
      <c r="AF18" s="166"/>
      <c r="AG18" s="166"/>
      <c r="AH18" s="166"/>
      <c r="AI18" s="156"/>
      <c r="AJ18" s="156"/>
      <c r="AK18" s="156"/>
      <c r="AL18" s="156"/>
    </row>
    <row r="19" spans="1:38" x14ac:dyDescent="0.2">
      <c r="B19" s="1"/>
      <c r="U19" s="177"/>
    </row>
    <row r="20" spans="1:38" x14ac:dyDescent="0.2">
      <c r="B20" s="678" t="s">
        <v>318</v>
      </c>
      <c r="C20" s="679"/>
      <c r="D20" s="679"/>
      <c r="E20" s="679"/>
      <c r="F20" s="679"/>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c r="AD20" s="679"/>
      <c r="AE20" s="679"/>
    </row>
    <row r="21" spans="1:38" x14ac:dyDescent="0.2">
      <c r="B21" s="1" t="s">
        <v>319</v>
      </c>
      <c r="M21" s="1"/>
    </row>
    <row r="24" spans="1:38" x14ac:dyDescent="0.2">
      <c r="B24" s="677" t="str">
        <f>BORDRO!B65</f>
        <v>ADEM KOCABAY</v>
      </c>
      <c r="C24" s="677"/>
      <c r="D24" s="234"/>
      <c r="E24" s="200"/>
      <c r="Y24" s="675" t="s">
        <v>264</v>
      </c>
      <c r="Z24" s="676"/>
      <c r="AA24" s="676"/>
      <c r="AB24" s="676"/>
      <c r="AC24" s="676"/>
      <c r="AD24" s="676"/>
      <c r="AE24" s="676"/>
    </row>
    <row r="25" spans="1:38" x14ac:dyDescent="0.2">
      <c r="B25" s="677" t="str">
        <f>BORDRO!B66</f>
        <v>MÜDÜR YARDIMCISI</v>
      </c>
      <c r="C25" s="677"/>
      <c r="D25" s="234"/>
      <c r="E25" s="200"/>
      <c r="Y25" s="676" t="str">
        <f>BORDRO!R66</f>
        <v>OKUL MÜDÜRÜ</v>
      </c>
      <c r="Z25" s="676"/>
      <c r="AA25" s="676"/>
      <c r="AB25" s="676"/>
      <c r="AC25" s="676"/>
      <c r="AD25" s="676"/>
      <c r="AE25" s="676"/>
    </row>
  </sheetData>
  <mergeCells count="7">
    <mergeCell ref="A1:AK1"/>
    <mergeCell ref="AI2:AK2"/>
    <mergeCell ref="Y24:AE24"/>
    <mergeCell ref="Y25:AE25"/>
    <mergeCell ref="B25:C25"/>
    <mergeCell ref="B24:C24"/>
    <mergeCell ref="B20:AE20"/>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2022-01-26T11:04:02Z</cp:lastPrinted>
  <dcterms:created xsi:type="dcterms:W3CDTF">2001-10-19T12:28:28Z</dcterms:created>
  <dcterms:modified xsi:type="dcterms:W3CDTF">2022-03-01T11:24:27Z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