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C11" i="27" l="1"/>
  <c r="D11" i="27" s="1"/>
  <c r="E11" i="27" s="1"/>
  <c r="R13" i="8" s="1"/>
  <c r="C12" i="27"/>
  <c r="C13" i="27"/>
  <c r="D13" i="27" s="1"/>
  <c r="E13" i="27" s="1"/>
  <c r="R15" i="8" s="1"/>
  <c r="D12" i="27"/>
  <c r="E12" i="27" s="1"/>
  <c r="R14" i="8" s="1"/>
  <c r="B11" i="27"/>
  <c r="F11" i="27"/>
  <c r="G11" i="27"/>
  <c r="H11" i="27"/>
  <c r="I11" i="27"/>
  <c r="J11" i="27"/>
  <c r="B12" i="27"/>
  <c r="F12" i="27"/>
  <c r="G12" i="27"/>
  <c r="H12" i="27"/>
  <c r="I12" i="27"/>
  <c r="J12" i="27"/>
  <c r="B13" i="27"/>
  <c r="F13" i="27"/>
  <c r="G13" i="27"/>
  <c r="H13" i="27"/>
  <c r="I13" i="27"/>
  <c r="J13" i="27"/>
  <c r="R8" i="8"/>
  <c r="R9" i="8"/>
  <c r="R10" i="8"/>
  <c r="R11" i="8"/>
  <c r="R12"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E13" i="32"/>
  <c r="F13" i="32"/>
  <c r="D13" i="32"/>
  <c r="S8" i="8"/>
  <c r="V8" i="8"/>
  <c r="W8" i="8"/>
  <c r="X8" i="8"/>
  <c r="Y8" i="8"/>
  <c r="T8" i="8" s="1"/>
  <c r="U8" i="8" s="1"/>
  <c r="S10" i="8"/>
  <c r="V10" i="8"/>
  <c r="W10" i="8"/>
  <c r="X10" i="8"/>
  <c r="Y10" i="8"/>
  <c r="T10" i="8" s="1"/>
  <c r="U10" i="8" s="1"/>
  <c r="Z10" i="8"/>
  <c r="S11" i="8"/>
  <c r="V11" i="8"/>
  <c r="W11" i="8"/>
  <c r="X11" i="8"/>
  <c r="Y11" i="8"/>
  <c r="T11" i="8" s="1"/>
  <c r="U11" i="8" s="1"/>
  <c r="Z11" i="8"/>
  <c r="S12" i="8"/>
  <c r="T12" i="8"/>
  <c r="U12" i="8" s="1"/>
  <c r="V12" i="8"/>
  <c r="W12" i="8"/>
  <c r="X12" i="8"/>
  <c r="Y12" i="8"/>
  <c r="Z12" i="8"/>
  <c r="S13" i="8"/>
  <c r="T13" i="8"/>
  <c r="U13" i="8" s="1"/>
  <c r="V13" i="8"/>
  <c r="W13" i="8"/>
  <c r="X13" i="8"/>
  <c r="Y13" i="8"/>
  <c r="Z13" i="8"/>
  <c r="S14" i="8"/>
  <c r="T14" i="8"/>
  <c r="U14" i="8" s="1"/>
  <c r="V14" i="8"/>
  <c r="W14" i="8"/>
  <c r="X14" i="8"/>
  <c r="Y14" i="8"/>
  <c r="Z14" i="8"/>
  <c r="S15" i="8"/>
  <c r="T15" i="8"/>
  <c r="U15" i="8" s="1"/>
  <c r="V15" i="8"/>
  <c r="W15" i="8"/>
  <c r="X15" i="8"/>
  <c r="Y15" i="8"/>
  <c r="Z15" i="8"/>
  <c r="S16" i="8"/>
  <c r="T16" i="8"/>
  <c r="U16" i="8" s="1"/>
  <c r="V16" i="8"/>
  <c r="W16" i="8"/>
  <c r="X16" i="8"/>
  <c r="Y16" i="8"/>
  <c r="Z16" i="8"/>
  <c r="E8" i="32"/>
  <c r="D8" i="32"/>
  <c r="F8" i="32" s="1"/>
  <c r="F12" i="32"/>
  <c r="E12" i="32"/>
  <c r="O11" i="32"/>
  <c r="P11" i="32"/>
  <c r="Q11" i="32"/>
  <c r="R11" i="32"/>
  <c r="S11" i="32"/>
  <c r="AC11" i="32"/>
  <c r="AD11" i="32"/>
  <c r="AE11" i="32"/>
  <c r="AF11" i="32"/>
  <c r="AG11" i="32"/>
  <c r="AJ11" i="32"/>
  <c r="AK11" i="32"/>
  <c r="AL11" i="32"/>
  <c r="AM11" i="32"/>
  <c r="AN11" i="32"/>
  <c r="L11" i="32"/>
  <c r="D9" i="32"/>
  <c r="F9" i="32" s="1"/>
  <c r="D7" i="32"/>
  <c r="F7" i="32" s="1"/>
  <c r="AB8" i="8" l="1"/>
  <c r="Z8" i="8"/>
  <c r="AA8" i="8" s="1"/>
  <c r="AB16" i="8"/>
  <c r="AC16" i="8" s="1"/>
  <c r="AA16" i="8"/>
  <c r="AB15" i="8"/>
  <c r="AA15" i="8"/>
  <c r="AB14" i="8"/>
  <c r="AA14" i="8"/>
  <c r="AB13" i="8"/>
  <c r="AA13" i="8"/>
  <c r="AB12" i="8"/>
  <c r="AC12" i="8" s="1"/>
  <c r="AA12" i="8"/>
  <c r="AB11" i="8"/>
  <c r="AC11" i="8" s="1"/>
  <c r="AA11" i="8"/>
  <c r="AB10" i="8"/>
  <c r="AC10" i="8" s="1"/>
  <c r="AA10" i="8"/>
  <c r="G9" i="32"/>
  <c r="J16" i="8"/>
  <c r="M16" i="8" s="1"/>
  <c r="E16" i="8"/>
  <c r="I16" i="8"/>
  <c r="K16" i="8"/>
  <c r="B16" i="8"/>
  <c r="C16" i="8"/>
  <c r="F16" i="8"/>
  <c r="N16" i="8" s="1"/>
  <c r="AC13" i="8" l="1"/>
  <c r="K11" i="27"/>
  <c r="AC14" i="8"/>
  <c r="K12" i="27"/>
  <c r="AC15" i="8"/>
  <c r="K13" i="27"/>
  <c r="AC8" i="8"/>
  <c r="G12" i="32"/>
  <c r="G16" i="8"/>
  <c r="J15" i="8"/>
  <c r="E11" i="32"/>
  <c r="G11" i="32" s="1"/>
  <c r="C15" i="7"/>
  <c r="C16" i="7"/>
  <c r="C17" i="7"/>
  <c r="E15" i="8"/>
  <c r="G15" i="8"/>
  <c r="L15" i="8" s="1"/>
  <c r="I15" i="8"/>
  <c r="K15" i="8"/>
  <c r="B15" i="8"/>
  <c r="C15" i="8"/>
  <c r="B11" i="32"/>
  <c r="C11" i="32"/>
  <c r="H16" i="8" l="1"/>
  <c r="D16" i="8" s="1"/>
  <c r="L16" i="8"/>
  <c r="O16" i="8" s="1"/>
  <c r="F15" i="8"/>
  <c r="N15" i="8" s="1"/>
  <c r="M15" i="8"/>
  <c r="J14" i="8"/>
  <c r="J13" i="8"/>
  <c r="E13" i="8"/>
  <c r="F13" i="8"/>
  <c r="N13" i="8" s="1"/>
  <c r="I13" i="8"/>
  <c r="K13" i="8"/>
  <c r="E14" i="8"/>
  <c r="M14" i="8" s="1"/>
  <c r="F14" i="8"/>
  <c r="N14" i="8" s="1"/>
  <c r="I14" i="8"/>
  <c r="K14" i="8"/>
  <c r="B13" i="8"/>
  <c r="C13" i="8"/>
  <c r="B14" i="8"/>
  <c r="C14" i="8"/>
  <c r="F10" i="32"/>
  <c r="G14" i="8" s="1"/>
  <c r="G13" i="8"/>
  <c r="B9" i="32"/>
  <c r="C9" i="32"/>
  <c r="B10" i="32"/>
  <c r="C10" i="32"/>
  <c r="G10" i="32" l="1"/>
  <c r="P16" i="8"/>
  <c r="O15" i="8"/>
  <c r="H15" i="8"/>
  <c r="D15" i="8" s="1"/>
  <c r="M13" i="8"/>
  <c r="H13" i="8"/>
  <c r="D13" i="8" s="1"/>
  <c r="L13" i="8"/>
  <c r="H14" i="8"/>
  <c r="D14" i="8" s="1"/>
  <c r="L14" i="8"/>
  <c r="O14" i="8" s="1"/>
  <c r="O13" i="8" l="1"/>
  <c r="P13" i="8" s="1"/>
  <c r="Q16" i="8"/>
  <c r="P15" i="8"/>
  <c r="P14" i="8"/>
  <c r="F5" i="32"/>
  <c r="F6" i="32"/>
  <c r="E4" i="32"/>
  <c r="Q15" i="8" l="1"/>
  <c r="D17" i="7" s="1"/>
  <c r="Q14" i="8"/>
  <c r="Q13" i="8"/>
  <c r="D15" i="7" l="1"/>
  <c r="D16" i="7"/>
  <c r="AD2" i="32"/>
  <c r="Y27" i="32"/>
  <c r="B27" i="32"/>
  <c r="B26"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G13" i="32" l="1"/>
  <c r="D10" i="8"/>
  <c r="G5" i="30"/>
  <c r="G4" i="30"/>
  <c r="D9" i="8"/>
  <c r="W9"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C11" i="8" l="1"/>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4" i="32"/>
  <c r="F15" i="32"/>
  <c r="F16" i="32"/>
  <c r="F17" i="32"/>
  <c r="F18" i="32"/>
  <c r="F19" i="32"/>
  <c r="C5" i="32"/>
  <c r="C14" i="32"/>
  <c r="C15" i="32"/>
  <c r="C16" i="32"/>
  <c r="C17" i="32"/>
  <c r="C18" i="32"/>
  <c r="C19" i="32"/>
  <c r="B5" i="32"/>
  <c r="B14" i="32"/>
  <c r="B15" i="32"/>
  <c r="B16" i="32"/>
  <c r="B17" i="32"/>
  <c r="B18" i="32"/>
  <c r="B19"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D9" i="27"/>
  <c r="E9" i="27" s="1"/>
  <c r="D10" i="27"/>
  <c r="E10" i="27" s="1"/>
  <c r="D49" i="27"/>
  <c r="E49" i="27" s="1"/>
  <c r="D25" i="27"/>
  <c r="E25" i="27" s="1"/>
  <c r="D43" i="27"/>
  <c r="E43" i="27" s="1"/>
  <c r="D23" i="27"/>
  <c r="E23" i="27" s="1"/>
  <c r="D46" i="27"/>
  <c r="E46" i="27" s="1"/>
  <c r="D36" i="27"/>
  <c r="E36" i="27" s="1"/>
  <c r="D22" i="27"/>
  <c r="E22" i="27" s="1"/>
  <c r="D37" i="27"/>
  <c r="E37" i="27" s="1"/>
  <c r="D17" i="27"/>
  <c r="E17" i="27" s="1"/>
  <c r="D31" i="27"/>
  <c r="E31" i="27" s="1"/>
  <c r="D52" i="27"/>
  <c r="E52" i="27" s="1"/>
  <c r="D42" i="27"/>
  <c r="E42" i="27" s="1"/>
  <c r="D30" i="27"/>
  <c r="E30" i="27" s="1"/>
  <c r="D53" i="27"/>
  <c r="E53" i="27" s="1"/>
  <c r="D33" i="27"/>
  <c r="E33" i="27" s="1"/>
  <c r="D47" i="27"/>
  <c r="E47" i="27" s="1"/>
  <c r="D27" i="27"/>
  <c r="E27" i="27" s="1"/>
  <c r="D50" i="27"/>
  <c r="E50" i="27" s="1"/>
  <c r="D38" i="27"/>
  <c r="E38" i="27" s="1"/>
  <c r="D26" i="27"/>
  <c r="E26" i="27" s="1"/>
  <c r="D41" i="27"/>
  <c r="E41" i="27" s="1"/>
  <c r="D21" i="27"/>
  <c r="E21" i="27" s="1"/>
  <c r="D39" i="27"/>
  <c r="E39" i="27" s="1"/>
  <c r="D15" i="27"/>
  <c r="E15" i="27" s="1"/>
  <c r="D44" i="27"/>
  <c r="E44" i="27" s="1"/>
  <c r="D20" i="27"/>
  <c r="E20" i="27" s="1"/>
  <c r="D7" i="27"/>
  <c r="E7" i="27" s="1"/>
  <c r="D8" i="27"/>
  <c r="E8" i="27" s="1"/>
  <c r="M4" i="30"/>
  <c r="G7" i="27"/>
  <c r="M3" i="30"/>
  <c r="G6" i="27"/>
  <c r="D45" i="27"/>
  <c r="E45" i="27" s="1"/>
  <c r="D29" i="27"/>
  <c r="E29" i="27" s="1"/>
  <c r="D51" i="27"/>
  <c r="E51" i="27" s="1"/>
  <c r="D35" i="27"/>
  <c r="E35" i="27" s="1"/>
  <c r="D19" i="27"/>
  <c r="E19" i="27" s="1"/>
  <c r="D48" i="27"/>
  <c r="E48" i="27" s="1"/>
  <c r="D40" i="27"/>
  <c r="E40" i="27" s="1"/>
  <c r="D32" i="27"/>
  <c r="E32" i="27" s="1"/>
  <c r="D18" i="27"/>
  <c r="E18" i="27" s="1"/>
  <c r="D24" i="27"/>
  <c r="E24" i="27" s="1"/>
  <c r="D16" i="27"/>
  <c r="E16" i="27" s="1"/>
  <c r="U9" i="30"/>
  <c r="U11" i="30"/>
  <c r="U5" i="30"/>
  <c r="F6" i="27"/>
  <c r="D28" i="27"/>
  <c r="E28" i="27" s="1"/>
  <c r="U10" i="30"/>
  <c r="U7" i="30"/>
  <c r="U8" i="30"/>
  <c r="U6" i="30"/>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H56" i="27"/>
  <c r="K22" i="25"/>
  <c r="O3" i="30"/>
  <c r="I6" i="27"/>
  <c r="O4" i="30"/>
  <c r="I7" i="27"/>
  <c r="R58" i="8"/>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O12" i="8"/>
  <c r="K8" i="8"/>
  <c r="N8" i="8" s="1"/>
  <c r="L8" i="8"/>
  <c r="P11" i="8"/>
  <c r="P9" i="8"/>
  <c r="X9" i="8" s="1"/>
  <c r="Z9" i="8" s="1"/>
  <c r="T9" i="8"/>
  <c r="P10" i="8"/>
  <c r="K8" i="27"/>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P12" i="8" l="1"/>
  <c r="U9" i="8"/>
  <c r="AB9" i="8" s="1"/>
  <c r="K7" i="27" s="1"/>
  <c r="K9" i="27"/>
  <c r="Q9" i="8"/>
  <c r="O8" i="8"/>
  <c r="Q10"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K10" i="27" l="1"/>
  <c r="Q12" i="8"/>
  <c r="D13" i="7"/>
  <c r="AA9" i="8"/>
  <c r="AC9" i="8" s="1"/>
  <c r="D11" i="7" s="1"/>
  <c r="D12" i="7"/>
  <c r="P8" i="8"/>
  <c r="P58" i="8" s="1"/>
  <c r="S13" i="29" s="1"/>
  <c r="O58" i="8"/>
  <c r="X18" i="24" s="1"/>
  <c r="Y20" i="29" s="1"/>
  <c r="R4" i="30"/>
  <c r="L7" i="27"/>
  <c r="R3" i="30"/>
  <c r="S3" i="30" s="1"/>
  <c r="L6" i="27"/>
  <c r="V58" i="8" l="1"/>
  <c r="Y16" i="29" s="1"/>
  <c r="D14" i="7"/>
  <c r="Y18" i="29"/>
  <c r="X58" i="8"/>
  <c r="AK18" i="24"/>
  <c r="Y22" i="29" s="1"/>
  <c r="Q8" i="8"/>
  <c r="Q58" i="8" s="1"/>
  <c r="Y58" i="8"/>
  <c r="S12" i="29"/>
  <c r="E40" i="29" s="1"/>
  <c r="L56" i="27"/>
  <c r="T3" i="30"/>
  <c r="O6" i="27" s="1"/>
  <c r="N6" i="27"/>
  <c r="M7" i="27"/>
  <c r="S4" i="30"/>
  <c r="M6" i="27"/>
  <c r="X25" i="24"/>
  <c r="X19" i="24"/>
  <c r="AK19" i="24" s="1"/>
  <c r="Z58" i="8" l="1"/>
  <c r="Y19" i="29"/>
  <c r="AM18" i="29" s="1"/>
  <c r="S34" i="29"/>
  <c r="U3" i="30"/>
  <c r="M56" i="27"/>
  <c r="T4" i="30"/>
  <c r="O7" i="27" s="1"/>
  <c r="O56" i="27" s="1"/>
  <c r="N7" i="27"/>
  <c r="N56" i="27" s="1"/>
  <c r="X20" i="24"/>
  <c r="AK20" i="24" s="1"/>
  <c r="U58" i="8" l="1"/>
  <c r="Y15" i="29" s="1"/>
  <c r="K6" i="27"/>
  <c r="K56" i="27" s="1"/>
  <c r="AB58" i="8"/>
  <c r="S14" i="29" s="1"/>
  <c r="S33" i="29" s="1"/>
  <c r="D10" i="7"/>
  <c r="U4" i="30"/>
  <c r="S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AC58" i="8"/>
  <c r="Y24" i="29" s="1"/>
  <c r="Y33" i="29" s="1"/>
  <c r="D60" i="7"/>
  <c r="J10" i="25"/>
  <c r="G11" i="25"/>
  <c r="I10" i="25"/>
  <c r="K9" i="25" l="1"/>
  <c r="G12" i="25"/>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<sst xmlns="http://schemas.openxmlformats.org/spreadsheetml/2006/main" count="408" uniqueCount="324">
  <si>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</si>
  <si>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</si>
  <si>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</si>
  <si>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</si>
  <si>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</si>
  <si>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</si>
  <si>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</si>
  <si>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</si>
  <si>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</si>
  <si>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</si>
  <si>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</si>
  <si>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</si>
  <si>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</si>
  <si>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</si>
  <si>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</si>
  <si>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</si>
  <si>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</si>
  <si>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</si>
  <si>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</si>
  <si>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</si>
  <si>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</si>
  <si>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</si>
  <si>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</si>
  <si>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</si>
  <si>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</si>
  <si>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</si>
  <si>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</si>
  <si>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</si>
  <si>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</si>
  <si>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</si>
  <si>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</si>
  <si>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</si>
  <si>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</si>
  <si>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</si>
  <si>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</si>
  <si>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</si>
  <si>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</si>
  <si>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</si>
  <si>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</si>
  <si>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</si>
  <si>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</si>
  <si>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</si>
  <si>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</si>
  <si>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</si>
  <si>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</si>
  <si>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</si>
  <si>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</si>
  <si>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</si>
  <si>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</si>
  <si>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</si>
  <si>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</si>
  <si>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</si>
  <si>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</si>
  <si>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</si>
  <si>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</si>
  <si>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</si>
  <si>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</si>
  <si>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</si>
  <si>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</si>
  <si>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</si>
  <si>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</si>
  <si>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</si>
  <si>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</si>
  <si>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</si>
  <si>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</si>
  <si>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</si>
  <si>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</si>
  <si>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</si>
  <si>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</si>
  <si>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</si>
  <si>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</si>
  <si>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</si>
  <si>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</si>
  <si>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</si>
  <si>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</si>
  <si>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</si>
  <si>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</si>
  <si>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</si>
  <si>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</si>
  <si>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</si>
  <si>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</si>
  <si>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</si>
  <si>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</si>
  <si>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</si>
  <si>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</si>
  <si>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</si>
  <si>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</si>
  <si>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</si>
  <si>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</si>
  <si>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</si>
  <si>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</si>
  <si>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</si>
  <si>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</si>
  <si>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</si>
  <si>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</si>
  <si>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</si>
  <si>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</si>
  <si>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</si>
  <si>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</si>
  <si>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</si>
  <si>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</si>
  <si>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</si>
  <si>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</si>
  <si>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</si>
  <si>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</si>
  <si>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</si>
  <si>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</si>
  <si>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</si>
  <si>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</si>
  <si>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</si>
  <si>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</si>
  <si>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</si>
  <si>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</si>
  <si>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</si>
  <si>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</si>
  <si>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</si>
  <si>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</si>
  <si>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</si>
  <si>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</si>
  <si>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</si>
  <si>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</si>
  <si>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</si>
  <si>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</si>
  <si>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</si>
  <si>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</si>
  <si>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</si>
  <si>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</si>
  <si>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</si>
  <si>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</si>
  <si>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</si>
  <si>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</si>
  <si>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</si>
  <si>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</si>
  <si>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</si>
  <si>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</si>
  <si>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</si>
  <si>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</si>
  <si>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</si>
  <si>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</si>
  <si>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</si>
  <si>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</si>
  <si>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</si>
  <si>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</si>
  <si>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</si>
  <si>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</si>
  <si>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</si>
  <si>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</si>
  <si>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</si>
  <si>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</si>
  <si>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</si>
  <si>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</si>
  <si>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</si>
  <si>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</si>
  <si>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</si>
  <si>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</si>
  <si>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</si>
  <si>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</si>
  <si>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</si>
  <si>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</si>
  <si>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</si>
  <si>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</si>
  <si>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</si>
  <si>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</si>
  <si>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</si>
  <si>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</si>
  <si>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</si>
  <si>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</si>
  <si>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</si>
  <si>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</si>
  <si>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</si>
  <si>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</si>
  <si>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</si>
  <si>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</si>
  <si>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</si>
  <si>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</si>
  <si>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</si>
  <si>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</si>
  <si>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</si>
  <si>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</si>
  <si>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</si>
  <si>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</si>
  <si>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</si>
  <si>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</si>
  <si>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</si>
  <si>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</si>
  <si>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</si>
  <si>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</si>
  <si>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</si>
  <si>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</si>
  <si>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</si>
  <si>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</si>
  <si>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</si>
  <si>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</si>
  <si>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</si>
  <si>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</si>
  <si>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</si>
  <si>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</si>
  <si>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</si>
  <si>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</si>
  <si>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</si>
  <si>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</si>
  <si>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</si>
  <si>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</si>
  <si>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</si>
  <si>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</si>
  <si>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</si>
  <si>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</si>
  <si>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</si>
  <si>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</si>
  <si>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</si>
  <si>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</si>
  <si>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</si>
  <si>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</si>
  <si>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</si>
  <si>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</si>
  <si>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</si>
  <si>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</si>
  <si>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</si>
  <si>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</si>
  <si>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</si>
  <si>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</si>
  <si>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</si>
  <si>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</si>
  <si>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</si>
  <si>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</si>
  <si>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</si>
  <si>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</si>
  <si>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</si>
  <si>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</si>
  <si>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</si>
  <si>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</si>
  <si>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</si>
  <si>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</si>
  <si>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</si>
  <si>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</si>
  <si>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</si>
  <si>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</si>
  <si>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</si>
  <si>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</si>
  <si>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</si>
  <si>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</si>
  <si>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</si>
  <si>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</si>
  <si>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</si>
  <si>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</si>
  <si>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</si>
  <si>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</si>
  <si>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</si>
  <si>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</si>
  <si>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</si>
  <si>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</si>
  <si>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</si>
  <si>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</si>
  <si>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</si>
  <si>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</si>
  <si>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</si>
  <si>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</si>
  <si>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</si>
  <si>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</si>
  <si>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</si>
  <si>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</si>
  <si>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</si>
  <si>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</si>
  <si>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</si>
  <si>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</si>
  <si>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</si>
  <si>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</si>
  <si>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</si>
  <si>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</si>
  <si>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</si>
  <si>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</si>
  <si>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</si>
  <si>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</si>
  <si>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</si>
  <si>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</si>
  <si>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</si>
  <si>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</si>
  <si>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</si>
  <si>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</si>
  <si>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</si>
  <si>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</si>
  <si>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</si>
  <si>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</si>
  <si>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</si>
  <si>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</si>
  <si>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</si>
  <si>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</si>
  <si>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</si>
  <si>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</si>
  <si>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</si>
  <si>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</si>
  <si>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</si>
  <si>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</si>
  <si>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</si>
  <si>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</si>
  <si>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</si>
  <si>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</si>
  <si>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</si>
  <si>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</si>
  <si>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</si>
  <si>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</si>
  <si>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</si>
  <si>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</si>
  <si>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</si>
  <si>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</si>
  <si>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</si>
  <si>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</si>
  <si>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</si>
  <si>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</si>
  <si>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</si>
  <si>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</si>
  <si>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</si>
  <si>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</si>
  <si>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</si>
  <si>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</si>
  <si>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</si>
  <si>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</si>
  <si>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</si>
  <si>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</si>
  <si>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</si>
  <si>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</si>
  <si>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YASEMİN</t>
  </si>
  <si>
    <t>TOKTAŞ</t>
  </si>
  <si>
    <t xml:space="preserve">Yasin DAYANKAÇ'ın sehven ödenmeyen 1 saat ek dersi 28 Nisan'a eklenmiştir.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</si>
</sst>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9"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u/>
      <sz val="9"/>
      <name val="Arial"/>
      <family val="2"/>
      <charset val="162"/>
    </font>
    <font>
      <sz val="7"/>
      <name val="Arial"/>
      <family val="2"/>
    </font>
    <font>
      <b/>
      <i/>
      <sz val="9"/>
      <color rgb="FFFF0000"/>
      <name val="Arial"/>
      <family val="2"/>
      <charset val="162"/>
    </font>
    <font>
      <sz val="6"/>
      <name val="Arial Tur"/>
      <charset val="162"/>
    </font>
    <font>
      <i/>
      <sz val="9"/>
      <color rgb="FFFF0000"/>
      <name val="Arial"/>
      <family val="2"/>
      <charset val="162"/>
    </font>
    <font>
      <b/>
      <sz val="9"/>
      <color rgb="FFFF0000"/>
      <name val="Arial"/>
      <family val="2"/>
      <charset val="162"/>
    </font>
    <font>
      <sz val="5"/>
      <name val="Arial"/>
      <family val="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0">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3" fillId="0" borderId="1" xfId="0" applyFont="1" applyFill="1" applyBorder="1" applyAlignment="1">
      <alignment horizontal="center"/>
    </xf>
    <xf numFmtId="0" fontId="53" fillId="13" borderId="1" xfId="0" applyFont="1" applyFill="1" applyBorder="1" applyAlignment="1">
      <alignment horizontal="center"/>
    </xf>
    <xf numFmtId="0" fontId="53" fillId="8" borderId="1" xfId="0" applyFont="1" applyFill="1" applyBorder="1" applyAlignment="1">
      <alignment horizontal="center"/>
    </xf>
    <xf numFmtId="0" fontId="53" fillId="17" borderId="1" xfId="0" applyFont="1" applyFill="1" applyBorder="1" applyAlignment="1">
      <alignment horizontal="center"/>
    </xf>
    <xf numFmtId="164" fontId="53" fillId="17" borderId="1" xfId="0" applyNumberFormat="1" applyFont="1" applyFill="1" applyBorder="1" applyAlignment="1">
      <alignment horizontal="right"/>
    </xf>
    <xf numFmtId="164" fontId="53" fillId="13" borderId="1" xfId="0" applyNumberFormat="1" applyFont="1" applyFill="1" applyBorder="1" applyAlignment="1">
      <alignment horizontal="right"/>
    </xf>
    <xf numFmtId="164" fontId="53" fillId="8" borderId="1" xfId="0" applyNumberFormat="1" applyFont="1" applyFill="1" applyBorder="1" applyAlignment="1">
      <alignment horizontal="right"/>
    </xf>
    <xf numFmtId="4" fontId="53" fillId="17" borderId="1" xfId="0" applyNumberFormat="1" applyFont="1" applyFill="1" applyBorder="1" applyAlignment="1">
      <alignment horizontal="right"/>
    </xf>
    <xf numFmtId="4" fontId="53" fillId="13" borderId="1" xfId="0" applyNumberFormat="1" applyFont="1" applyFill="1" applyBorder="1" applyAlignment="1">
      <alignment horizontal="right"/>
    </xf>
    <xf numFmtId="4" fontId="53" fillId="8" borderId="1" xfId="0" applyNumberFormat="1" applyFont="1" applyFill="1" applyBorder="1" applyAlignment="1">
      <alignment horizontal="right"/>
    </xf>
    <xf numFmtId="4" fontId="53" fillId="0" borderId="1" xfId="0" applyNumberFormat="1" applyFont="1" applyFill="1" applyBorder="1" applyAlignment="1">
      <alignment horizontal="right"/>
    </xf>
    <xf numFmtId="1" fontId="55"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56"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41" fillId="0" borderId="14"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3" fillId="0" borderId="10" xfId="0" applyFont="1" applyFill="1" applyBorder="1" applyAlignment="1">
      <alignment horizontal="left"/>
    </xf>
    <xf numFmtId="0" fontId="5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53" fillId="0" borderId="0" xfId="0" applyFont="1" applyFill="1" applyAlignment="1">
      <alignment horizontal="left"/>
    </xf>
    <xf numFmtId="0" fontId="53" fillId="0" borderId="0" xfId="0" applyFont="1" applyFill="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51" fillId="0" borderId="0" xfId="0" applyFont="1" applyAlignment="1">
      <alignment horizontal="left" wrapText="1"/>
    </xf>
    <xf numFmtId="0" fontId="51" fillId="0" borderId="0" xfId="0" applyFont="1" applyAlignment="1">
      <alignment horizontal="justify"/>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0" fillId="14" borderId="0" xfId="0" applyFill="1"/>
    <xf numFmtId="0" fontId="11"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52"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57" fillId="0" borderId="1" xfId="0" applyFont="1" applyFill="1" applyBorder="1" applyAlignment="1">
      <alignment horizontal="center" vertical="center"/>
    </xf>
    <xf numFmtId="0" fontId="58" fillId="13" borderId="14" xfId="0" applyFont="1" applyFill="1" applyBorder="1" applyAlignment="1">
      <alignment horizontal="center" vertical="center" wrapText="1"/>
    </xf>
    <xf numFmtId="0" fontId="58" fillId="13" borderId="20" xfId="0" applyFont="1" applyFill="1" applyBorder="1" applyAlignment="1">
      <alignment horizontal="center" vertical="center" wrapText="1"/>
    </xf>
    <xf numFmtId="0" fontId="58" fillId="13" borderId="12" xfId="0" applyFont="1" applyFill="1" applyBorder="1" applyAlignment="1">
      <alignment horizontal="center" vertical="center" wrapText="1"/>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128</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89">
        <v>0.23544499999999999</v>
      </c>
      <c r="D6" s="185"/>
      <c r="E6" s="182"/>
      <c r="F6" s="182"/>
      <c r="G6" s="182"/>
    </row>
    <row r="8" spans="1:7" x14ac:dyDescent="0.2">
      <c r="C8" s="188"/>
    </row>
    <row r="9" spans="1:7" x14ac:dyDescent="0.2">
      <c r="C9" s="187"/>
    </row>
    <row r="10" spans="1:7" x14ac:dyDescent="0.2">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31988.54</v>
      </c>
      <c r="B1" s="14"/>
      <c r="C1" s="667"/>
      <c r="D1" s="667"/>
      <c r="G1" s="25">
        <f>'ÖDEME EMRİ'!Q40</f>
        <v>22829.920000000002</v>
      </c>
      <c r="H1" s="14"/>
      <c r="I1" s="667"/>
      <c r="J1" s="667"/>
    </row>
    <row r="7" spans="1:12" ht="13.5" customHeight="1" thickBot="1" x14ac:dyDescent="0.25"/>
    <row r="8" spans="1:12" ht="13.5" thickBot="1" x14ac:dyDescent="0.25">
      <c r="A8" s="15">
        <f>A1</f>
        <v>31988.54</v>
      </c>
      <c r="B8" s="16"/>
      <c r="C8" s="17"/>
      <c r="D8" s="17"/>
      <c r="E8" s="17"/>
      <c r="F8" s="18"/>
      <c r="G8" s="15">
        <f>G1</f>
        <v>22829.920000000002</v>
      </c>
      <c r="H8" s="16"/>
      <c r="I8" s="17"/>
      <c r="J8" s="17"/>
      <c r="K8" s="17"/>
      <c r="L8" s="18"/>
    </row>
    <row r="9" spans="1:12" ht="13.5" thickBot="1" x14ac:dyDescent="0.25">
      <c r="A9" s="19">
        <f>MOD(A8,100000000)</f>
        <v>31988.54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22829.920000000002</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31988.54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22829.920000000002</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31988.54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22829.920000000002</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31988.54</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22829.920000000002</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1988.5400000000009</v>
      </c>
      <c r="B13" s="20"/>
      <c r="C13" s="20" t="str">
        <f>IF(A13&lt;1000,"",IF(A13&lt;2000,"bin",IF(A13&lt;3000,"ikibin",IF(A13&lt;4000,"üçbin",IF(A13&lt;5000,"dörtbin",IF(A13&lt;6000,"beşbin",""))))))</f>
        <v>bin</v>
      </c>
      <c r="D13" s="20" t="str">
        <f>IF(A13&gt;=10000,"",IF(A13&gt;=9000,"dokuzbin",IF(A13&gt;=8000,"sekizbin",IF(A13&gt;=7000,"yedibin",IF(A13&gt;=6000,"altıbin","")))))</f>
        <v/>
      </c>
      <c r="E13" s="20" t="str">
        <f>IF(A12&lt;1000,"",C13&amp;D13)</f>
        <v>bin</v>
      </c>
      <c r="F13" s="22"/>
      <c r="G13" s="19">
        <f>MOD(G12,10000)</f>
        <v>2829.9200000000019</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5" thickBot="1" x14ac:dyDescent="0.25">
      <c r="A14" s="19">
        <f>MOD(A13,1000)</f>
        <v>988.54000000000087</v>
      </c>
      <c r="B14" s="20"/>
      <c r="C14" s="20" t="str">
        <f>IF(A14&lt;100,"",IF(A14&lt;200,"yüz",IF(A14&lt;300,"ikiyüz",IF(A14&lt;400,"üçyüz",IF(A14&lt;500,"dörtyüz",IF(A14&lt;600,"beşyüz",""))))))</f>
        <v/>
      </c>
      <c r="D14" s="20" t="str">
        <f>IF(A14&gt;=1000,"",IF(A14&gt;=900,"dokuzyüz",IF(A14&gt;=800,"sekizyüz",IF(A14&gt;=700,"yediyüz",IF(A14&gt;=600,"altıyüz","")))))</f>
        <v>dokuzyüz</v>
      </c>
      <c r="E14" s="20" t="str">
        <f>C14&amp;D14</f>
        <v>dokuzyüz</v>
      </c>
      <c r="F14" s="22"/>
      <c r="G14" s="19">
        <f>MOD(G13,1000)</f>
        <v>829.92000000000189</v>
      </c>
      <c r="H14" s="20"/>
      <c r="I14" s="20" t="str">
        <f>IF(G14&lt;100,"",IF(G14&lt;200,"yüz",IF(G14&lt;300,"ikiyüz",IF(G14&lt;400,"üçyüz",IF(G14&lt;500,"dörtyüz",IF(G14&lt;600,"beşyüz",""))))))</f>
        <v/>
      </c>
      <c r="J14" s="20" t="str">
        <f>IF(G14&gt;=1000,"",IF(G14&gt;=900,"dokuzyüz",IF(G14&gt;=800,"sekizyüz",IF(G14&gt;=700,"yediyüz",IF(G14&gt;=600,"altıyüz","")))))</f>
        <v>sekizyüz</v>
      </c>
      <c r="K14" s="20" t="str">
        <f>I14&amp;J14</f>
        <v>sekizyüz</v>
      </c>
      <c r="L14" s="22"/>
    </row>
    <row r="15" spans="1:12" ht="13.5" thickBot="1" x14ac:dyDescent="0.25">
      <c r="A15" s="19">
        <f>MOD(A14,100)</f>
        <v>88.540000000000873</v>
      </c>
      <c r="B15" s="20"/>
      <c r="C15" s="20" t="str">
        <f>IF(A15&lt;10,"",IF(A15&lt;20,"on",IF(A15&lt;30,"yirmi",IF(A15&lt;40,"otuz",IF(A15&lt;50,"kırk",IF(A15&lt;60,"elli",""))))))</f>
        <v/>
      </c>
      <c r="D15" s="20" t="str">
        <f>IF(A15&gt;=100,"",IF(A15&gt;=90,"doksan",IF(A15&gt;=80,"seksen",IF(A15&gt;=70,"yetmiş",IF(A15&gt;=60,"altmış","")))))</f>
        <v>seksen</v>
      </c>
      <c r="E15" s="20" t="str">
        <f>C15&amp;D15</f>
        <v>seksen</v>
      </c>
      <c r="F15" s="22" t="str">
        <f>IF(E14="","","")</f>
        <v/>
      </c>
      <c r="G15" s="19">
        <f>MOD(G14,100)</f>
        <v>29.920000000001892</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5" thickBot="1" x14ac:dyDescent="0.25">
      <c r="A16" s="19">
        <f>MOD(A15,10)</f>
        <v>8.5400000000008731</v>
      </c>
      <c r="B16" s="20"/>
      <c r="C16" s="20" t="str">
        <f>IF(A16&lt;1,"",IF(A16&lt;2,"bir",IF(A16&lt;3,"iki",IF(A16&lt;4,"üç",IF(A16&lt;5,"dört",IF(A16&lt;6,"beş",""))))))</f>
        <v/>
      </c>
      <c r="D16" s="20" t="str">
        <f>IF(A16&gt;=10,"",IF(A16&gt;=9,"dokuz",IF(A16&gt;=8,"sekiz",IF(A16&gt;=7,"yedi",IF(A16&gt;=6,"altı","")))))</f>
        <v>sekiz</v>
      </c>
      <c r="E16" s="20" t="str">
        <f>IF(A15&lt;1,"",C16&amp;D16)</f>
        <v>sekiz</v>
      </c>
      <c r="F16" s="22"/>
      <c r="G16" s="19">
        <f>MOD(G15,10)</f>
        <v>9.9200000000018917</v>
      </c>
      <c r="H16" s="20"/>
      <c r="I16" s="20" t="str">
        <f>IF(G16&lt;1,"",IF(G16&lt;2,"bir",IF(G16&lt;3,"iki",IF(G16&lt;4,"üç",IF(G16&lt;5,"dört",IF(G16&lt;6,"beş",""))))))</f>
        <v/>
      </c>
      <c r="J16" s="20" t="str">
        <f>IF(G16&gt;=10,"",IF(G16&gt;=9,"dokuz",IF(G16&gt;=8,"sekiz",IF(G16&gt;=7,"yedi",IF(G16&gt;=6,"altı","")))))</f>
        <v>dokuz</v>
      </c>
      <c r="K16" s="20" t="str">
        <f>IF(G15&lt;1,"",I16&amp;J16)</f>
        <v>dokuz</v>
      </c>
      <c r="L16" s="22"/>
    </row>
    <row r="17" spans="1:12" ht="13.5" thickBot="1" x14ac:dyDescent="0.25">
      <c r="A17" s="19">
        <f>ROUND(MOD(A16,1),2)</f>
        <v>0.54</v>
      </c>
      <c r="B17" s="20"/>
      <c r="C17" s="20" t="str">
        <f>IF(A17&lt;0.1,"",IF(A17&lt;0.2,"on",IF(A17&lt;0.3,"yirmi",IF(A17&lt;0.4,"otuz",IF(A17&lt;0.5,"kırk",IF(A17&lt;0.6,"elli",""))))))</f>
        <v>elli</v>
      </c>
      <c r="D17" s="20" t="str">
        <f>IF(A17&gt;=1,"",IF(A17&gt;=0.9,"doksan",IF(A17&gt;=0.8,"seksen",IF(A17&gt;=0.7,"yetmiş",IF(A17&gt;=0.6,"altmış","")))))</f>
        <v/>
      </c>
      <c r="E17" s="20" t="str">
        <f>C17&amp;D17</f>
        <v>elli</v>
      </c>
      <c r="F17" s="22" t="s">
        <v>200</v>
      </c>
      <c r="G17" s="19">
        <f>ROUND(MOD(G16,1),2)</f>
        <v>0.92</v>
      </c>
      <c r="H17" s="20"/>
      <c r="I17" s="20" t="str">
        <f>IF(G17&lt;0.1,"",IF(G17&lt;0.2,"on",IF(G17&lt;0.3,"yirmi",IF(G17&lt;0.4,"otuz",IF(G17&lt;0.5,"kırk",IF(G17&lt;0.6,"elli",""))))))</f>
        <v/>
      </c>
      <c r="J17" s="20" t="str">
        <f>IF(G17&gt;=1,"",IF(G17&gt;=0.9,"doksan",IF(G17&gt;=0.8,"seksen",IF(G17&gt;=0.7,"yetmiş",IF(G17&gt;=0.6,"altmış","")))))</f>
        <v>doksan</v>
      </c>
      <c r="K17" s="20" t="str">
        <f>I17&amp;J17</f>
        <v>doksan</v>
      </c>
      <c r="L17" s="22" t="s">
        <v>200</v>
      </c>
    </row>
    <row r="18" spans="1:12" ht="13.5" thickBot="1" x14ac:dyDescent="0.25">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201</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201</v>
      </c>
    </row>
    <row r="19" spans="1:12" ht="13.5" thickBot="1" x14ac:dyDescent="0.25">
      <c r="A19" s="19">
        <f>MOD(A18,0.01)</f>
        <v>0</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yirmiikibinsekizyüzyirmidokuz</v>
      </c>
      <c r="H24" s="20" t="str">
        <f>CONCATENATE(K17,K18)</f>
        <v>doksaniki</v>
      </c>
      <c r="I24" s="20" t="str">
        <f>IF(G24="","sıfır",G24)</f>
        <v>yirmiikibinsekizyüzyirmidokuz</v>
      </c>
      <c r="J24" s="20" t="str">
        <f>IF(H24="","sıfır",H24)</f>
        <v>doksaniki</v>
      </c>
      <c r="K24" s="20"/>
      <c r="L24" s="22"/>
    </row>
    <row r="25" spans="1:12" ht="21" customHeight="1" thickBot="1" x14ac:dyDescent="0.3">
      <c r="A25" s="668" t="str">
        <f>CONCATENATE("//",A24,F17,D24,F18,"//")</f>
        <v>//beşbinaltıyüz TL ellisekiz Kuruş//</v>
      </c>
      <c r="B25" s="669"/>
      <c r="C25" s="669"/>
      <c r="D25" s="669"/>
      <c r="E25" s="669"/>
      <c r="F25" s="670"/>
      <c r="G25" s="668" t="str">
        <f>CONCATENATE("//",I24,L17,J24,L18,"//")</f>
        <v>//yirmiikibinsekizyüzyirmidokuz TL doksaniki Kuruş//</v>
      </c>
      <c r="H25" s="669"/>
      <c r="I25" s="669"/>
      <c r="J25" s="669"/>
      <c r="K25" s="669"/>
      <c r="L25" s="670"/>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B12" sqref="B12"/>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2" t="s">
        <v>183</v>
      </c>
      <c r="B1" s="262"/>
      <c r="C1" s="262"/>
      <c r="D1" s="262"/>
      <c r="E1" s="262"/>
      <c r="F1" s="262"/>
      <c r="G1" s="262"/>
      <c r="H1" s="262"/>
      <c r="I1" s="262"/>
      <c r="J1" s="262"/>
      <c r="K1" s="263" t="s">
        <v>245</v>
      </c>
      <c r="L1" s="263"/>
      <c r="M1" s="263"/>
      <c r="N1" s="263"/>
      <c r="O1" s="263"/>
      <c r="P1" s="263"/>
      <c r="Q1" s="263"/>
      <c r="R1" s="263"/>
      <c r="S1" s="263"/>
      <c r="T1" s="263"/>
      <c r="U1" s="263"/>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96</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82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48</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90</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125</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x14ac:dyDescent="0.2">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x14ac:dyDescent="0.2">
      <c r="A11" s="110">
        <v>9</v>
      </c>
      <c r="B11" s="168" t="s">
        <v>321</v>
      </c>
      <c r="C11" s="109" t="s">
        <v>322</v>
      </c>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tabSelected="1" zoomScale="130" zoomScaleNormal="130" workbookViewId="0">
      <pane xSplit="8" ySplit="7" topLeftCell="I8" activePane="bottomRight" state="frozen"/>
      <selection pane="topRight" activeCell="G1" sqref="G1"/>
      <selection pane="bottomLeft" activeCell="A9" sqref="A9"/>
      <selection pane="bottomRight" activeCell="AC16" sqref="A1:AC16"/>
    </sheetView>
  </sheetViews>
  <sheetFormatPr defaultColWidth="5.7109375" defaultRowHeight="11.25" x14ac:dyDescent="0.2"/>
  <cols>
    <col min="1" max="1" width="4.140625" style="13" customWidth="1"/>
    <col min="2" max="2" width="8.42578125" style="13" customWidth="1"/>
    <col min="3" max="3" width="6.85546875" style="13" customWidth="1"/>
    <col min="4" max="4" width="4.42578125" style="13" customWidth="1"/>
    <col min="5" max="5" width="5.42578125" style="13" customWidth="1"/>
    <col min="6" max="6" width="5.85546875" style="13" customWidth="1"/>
    <col min="7" max="7" width="6.42578125" style="13" customWidth="1"/>
    <col min="8" max="8" width="6.5703125" style="13" customWidth="1"/>
    <col min="9" max="9" width="6.85546875" style="13" customWidth="1"/>
    <col min="10" max="10" width="8.42578125" style="13" customWidth="1"/>
    <col min="11" max="11" width="8.140625" style="13" customWidth="1"/>
    <col min="12" max="12" width="6.7109375" style="13" customWidth="1"/>
    <col min="13" max="13" width="6" style="13" customWidth="1"/>
    <col min="14" max="14" width="9.42578125" style="13" customWidth="1"/>
    <col min="15" max="15" width="7.28515625" style="13" customWidth="1"/>
    <col min="16" max="16" width="6.28515625" style="13" customWidth="1"/>
    <col min="17" max="17" width="7" style="13" customWidth="1"/>
    <col min="18" max="18" width="0.28515625" style="13" customWidth="1"/>
    <col min="19" max="19" width="0.28515625" style="13" hidden="1" customWidth="1"/>
    <col min="20" max="20" width="6.42578125" style="13" customWidth="1"/>
    <col min="21" max="21" width="7.28515625" style="13" customWidth="1"/>
    <col min="22" max="22" width="7.5703125"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8.85546875" style="13" customWidth="1"/>
    <col min="30" max="30" width="5.7109375" style="13" customWidth="1"/>
    <col min="31" max="16384" width="5.7109375" style="13"/>
  </cols>
  <sheetData>
    <row r="1" spans="1:29" ht="12.75" customHeight="1" x14ac:dyDescent="0.2">
      <c r="A1" s="264" t="s">
        <v>29</v>
      </c>
      <c r="B1" s="264"/>
      <c r="C1" s="264"/>
      <c r="D1" s="299">
        <f>KONTROL!C6</f>
        <v>0.23544499999999999</v>
      </c>
      <c r="E1" s="299"/>
      <c r="F1" s="299"/>
      <c r="G1" s="299"/>
      <c r="H1" s="299"/>
      <c r="U1" s="291"/>
      <c r="V1" s="291"/>
      <c r="W1" s="291"/>
      <c r="X1" s="292"/>
      <c r="Y1" s="287" t="s">
        <v>10</v>
      </c>
      <c r="Z1" s="288"/>
      <c r="AA1" s="293" t="s">
        <v>269</v>
      </c>
      <c r="AB1" s="294"/>
      <c r="AC1" s="295"/>
    </row>
    <row r="2" spans="1:29" x14ac:dyDescent="0.2">
      <c r="A2" s="264"/>
      <c r="B2" s="264"/>
      <c r="C2" s="264"/>
      <c r="D2" s="305" t="s">
        <v>287</v>
      </c>
      <c r="E2" s="306"/>
      <c r="F2" s="306"/>
      <c r="G2" s="306"/>
      <c r="H2" s="307"/>
      <c r="I2" s="50" t="s">
        <v>288</v>
      </c>
      <c r="J2" s="304" t="s">
        <v>243</v>
      </c>
      <c r="K2" s="304"/>
      <c r="L2" s="304"/>
      <c r="M2" s="304"/>
      <c r="N2" s="304"/>
      <c r="O2" s="304"/>
      <c r="P2" s="304"/>
      <c r="Q2" s="304"/>
      <c r="R2" s="304"/>
      <c r="S2" s="304"/>
      <c r="T2" s="304"/>
      <c r="U2" s="304"/>
      <c r="V2" s="304"/>
      <c r="W2" s="304"/>
      <c r="X2" s="233"/>
      <c r="Y2" s="289"/>
      <c r="Z2" s="290"/>
      <c r="AA2" s="296"/>
      <c r="AB2" s="297"/>
      <c r="AC2" s="298"/>
    </row>
    <row r="3" spans="1:29" ht="12.75" customHeight="1" x14ac:dyDescent="0.2">
      <c r="A3" s="264" t="s">
        <v>8</v>
      </c>
      <c r="B3" s="264"/>
      <c r="C3" s="264"/>
      <c r="D3" s="308">
        <v>140</v>
      </c>
      <c r="E3" s="308"/>
      <c r="F3" s="308"/>
      <c r="G3" s="308"/>
      <c r="H3" s="308"/>
      <c r="I3" s="50">
        <v>150</v>
      </c>
      <c r="V3" s="300"/>
      <c r="W3" s="300"/>
      <c r="X3" s="301"/>
      <c r="Y3" s="302" t="s">
        <v>219</v>
      </c>
      <c r="Z3" s="303"/>
      <c r="AA3" s="286" t="str">
        <f>CONCATENATE(KONTROL!C1,"-",KONTROL!C2)</f>
        <v>NİSAN-2022</v>
      </c>
      <c r="AB3" s="286"/>
      <c r="AC3" s="286"/>
    </row>
    <row r="4" spans="1:29" s="234" customFormat="1" ht="12.75" customHeight="1" x14ac:dyDescent="0.15">
      <c r="A4" s="265" t="s">
        <v>4</v>
      </c>
      <c r="B4" s="265" t="s">
        <v>185</v>
      </c>
      <c r="C4" s="265" t="s">
        <v>186</v>
      </c>
      <c r="D4" s="265" t="s">
        <v>230</v>
      </c>
      <c r="E4" s="271" t="s">
        <v>294</v>
      </c>
      <c r="F4" s="274" t="s">
        <v>295</v>
      </c>
      <c r="G4" s="278" t="s">
        <v>296</v>
      </c>
      <c r="H4" s="265" t="s">
        <v>286</v>
      </c>
      <c r="I4" s="277" t="s">
        <v>289</v>
      </c>
      <c r="J4" s="677" t="s">
        <v>290</v>
      </c>
      <c r="K4" s="274" t="s">
        <v>291</v>
      </c>
      <c r="L4" s="278" t="s">
        <v>292</v>
      </c>
      <c r="M4" s="271" t="s">
        <v>293</v>
      </c>
      <c r="N4" s="274" t="s">
        <v>300</v>
      </c>
      <c r="O4" s="270" t="s">
        <v>133</v>
      </c>
      <c r="P4" s="265" t="s">
        <v>246</v>
      </c>
      <c r="Q4" s="265" t="s">
        <v>28</v>
      </c>
      <c r="R4" s="265" t="s">
        <v>233</v>
      </c>
      <c r="S4" s="265" t="s">
        <v>235</v>
      </c>
      <c r="T4" s="265" t="s">
        <v>182</v>
      </c>
      <c r="U4" s="265" t="s">
        <v>6</v>
      </c>
      <c r="V4" s="265" t="s">
        <v>7</v>
      </c>
      <c r="W4" s="265" t="s">
        <v>229</v>
      </c>
      <c r="X4" s="265" t="s">
        <v>247</v>
      </c>
      <c r="Y4" s="265" t="s">
        <v>231</v>
      </c>
      <c r="Z4" s="265" t="s">
        <v>232</v>
      </c>
      <c r="AA4" s="265" t="s">
        <v>9</v>
      </c>
      <c r="AB4" s="265" t="s">
        <v>233</v>
      </c>
      <c r="AC4" s="265" t="s">
        <v>234</v>
      </c>
    </row>
    <row r="5" spans="1:29" s="234" customFormat="1" ht="11.25" customHeight="1" x14ac:dyDescent="0.15">
      <c r="A5" s="268"/>
      <c r="B5" s="268"/>
      <c r="C5" s="268"/>
      <c r="D5" s="266"/>
      <c r="E5" s="272"/>
      <c r="F5" s="275"/>
      <c r="G5" s="279"/>
      <c r="H5" s="268"/>
      <c r="I5" s="277"/>
      <c r="J5" s="678"/>
      <c r="K5" s="275"/>
      <c r="L5" s="279"/>
      <c r="M5" s="272"/>
      <c r="N5" s="275"/>
      <c r="O5" s="270"/>
      <c r="P5" s="268"/>
      <c r="Q5" s="268"/>
      <c r="R5" s="268"/>
      <c r="S5" s="268"/>
      <c r="T5" s="268"/>
      <c r="U5" s="268"/>
      <c r="V5" s="268"/>
      <c r="W5" s="268"/>
      <c r="X5" s="268"/>
      <c r="Y5" s="268"/>
      <c r="Z5" s="268"/>
      <c r="AA5" s="268"/>
      <c r="AB5" s="268"/>
      <c r="AC5" s="268"/>
    </row>
    <row r="6" spans="1:29" s="234" customFormat="1" ht="8.25" x14ac:dyDescent="0.15">
      <c r="A6" s="268"/>
      <c r="B6" s="268"/>
      <c r="C6" s="268"/>
      <c r="D6" s="266"/>
      <c r="E6" s="272"/>
      <c r="F6" s="275"/>
      <c r="G6" s="279"/>
      <c r="H6" s="268"/>
      <c r="I6" s="277"/>
      <c r="J6" s="678"/>
      <c r="K6" s="275"/>
      <c r="L6" s="279"/>
      <c r="M6" s="272"/>
      <c r="N6" s="275"/>
      <c r="O6" s="270"/>
      <c r="P6" s="268"/>
      <c r="Q6" s="268"/>
      <c r="R6" s="268"/>
      <c r="S6" s="268"/>
      <c r="T6" s="268"/>
      <c r="U6" s="268"/>
      <c r="V6" s="268"/>
      <c r="W6" s="268"/>
      <c r="X6" s="268"/>
      <c r="Y6" s="268"/>
      <c r="Z6" s="268"/>
      <c r="AA6" s="268"/>
      <c r="AB6" s="268"/>
      <c r="AC6" s="268"/>
    </row>
    <row r="7" spans="1:29" s="234" customFormat="1" ht="15.6" customHeight="1" x14ac:dyDescent="0.15">
      <c r="A7" s="269"/>
      <c r="B7" s="269"/>
      <c r="C7" s="269"/>
      <c r="D7" s="267"/>
      <c r="E7" s="273"/>
      <c r="F7" s="276"/>
      <c r="G7" s="280"/>
      <c r="H7" s="269"/>
      <c r="I7" s="277"/>
      <c r="J7" s="679"/>
      <c r="K7" s="276"/>
      <c r="L7" s="280"/>
      <c r="M7" s="273"/>
      <c r="N7" s="276"/>
      <c r="O7" s="270"/>
      <c r="P7" s="269"/>
      <c r="Q7" s="269"/>
      <c r="R7" s="269"/>
      <c r="S7" s="269"/>
      <c r="T7" s="269"/>
      <c r="U7" s="269"/>
      <c r="V7" s="269"/>
      <c r="W7" s="269"/>
      <c r="X7" s="269"/>
      <c r="Y7" s="269"/>
      <c r="Z7" s="269"/>
      <c r="AA7" s="269"/>
      <c r="AB7" s="269"/>
      <c r="AC7" s="269"/>
    </row>
    <row r="8" spans="1:29" ht="15.6" customHeight="1" x14ac:dyDescent="0.2">
      <c r="A8" s="50">
        <v>1</v>
      </c>
      <c r="B8" s="248" t="str">
        <f>'BİLGİ GİRİŞİ'!B3</f>
        <v>ESRA</v>
      </c>
      <c r="C8" s="248" t="str">
        <f>'BİLGİ GİRİŞİ'!C3</f>
        <v>GÜMÜŞ</v>
      </c>
      <c r="D8" s="237">
        <f t="shared" ref="D8:D15" si="0">ROUNDUP(H8/7.5,0)</f>
        <v>13</v>
      </c>
      <c r="E8" s="238">
        <f>'EK DERS ÇİZELGESİ'!D4</f>
        <v>0</v>
      </c>
      <c r="F8" s="239">
        <f>'EK DERS ÇİZELGESİ'!E4</f>
        <v>96</v>
      </c>
      <c r="G8" s="240">
        <f>'EK DERS ÇİZELGESİ'!F4</f>
        <v>0</v>
      </c>
      <c r="H8" s="237">
        <f t="shared" ref="H8:H15" si="1">SUM(E8:G8)</f>
        <v>96</v>
      </c>
      <c r="I8" s="241">
        <f t="shared" ref="I8:I55" si="2">$D$1*$D$3</f>
        <v>32.962299999999999</v>
      </c>
      <c r="J8" s="242">
        <f>I3*D1</f>
        <v>35.316749999999999</v>
      </c>
      <c r="K8" s="243">
        <f t="shared" ref="K8:K15" si="3">I8*1.25</f>
        <v>41.202874999999999</v>
      </c>
      <c r="L8" s="244">
        <f t="shared" ref="L8:L15" si="4">ROUND(I8*G8,2)</f>
        <v>0</v>
      </c>
      <c r="M8" s="245">
        <f t="shared" ref="M8:M15" si="5">ROUND(J8*E8,2)</f>
        <v>0</v>
      </c>
      <c r="N8" s="246">
        <f t="shared" ref="N8:N15" si="6">ROUND(F8*K8,2)</f>
        <v>3955.48</v>
      </c>
      <c r="O8" s="247">
        <f t="shared" ref="O8:O15" si="7">SUM(L8:N8)</f>
        <v>3955.48</v>
      </c>
      <c r="P8" s="247">
        <f>ROUND((O8*20.5/100),2)</f>
        <v>810.87</v>
      </c>
      <c r="Q8" s="247">
        <f t="shared" ref="Q8:Q15" si="8">O8+P8</f>
        <v>4766.3500000000004</v>
      </c>
      <c r="R8" s="247">
        <f>ASG.GEÇ.İND.BORD.!E6</f>
        <v>375.3</v>
      </c>
      <c r="S8" s="247">
        <f>'BİLGİ GİRİŞİ'!U3</f>
        <v>375.3</v>
      </c>
      <c r="T8" s="247">
        <f t="shared" ref="T8" si="9">ROUND((O8-(Y8)),2)</f>
        <v>3401.71</v>
      </c>
      <c r="U8" s="247">
        <f t="shared" ref="U8:U16" si="10">ROUND((T8*15/100),2)*0</f>
        <v>0</v>
      </c>
      <c r="V8" s="247">
        <f t="shared" ref="V8" si="11">ROUND(MOD(O8*7.59/1000,1000000),2)*0</f>
        <v>0</v>
      </c>
      <c r="W8" s="247">
        <f>'BİLGİ GİRİŞİ'!H3</f>
        <v>0</v>
      </c>
      <c r="X8" s="247">
        <f t="shared" ref="X8" si="12">P8</f>
        <v>810.87</v>
      </c>
      <c r="Y8" s="247">
        <f t="shared" ref="Y8" si="13">ROUND((O8*14/100),2)</f>
        <v>553.77</v>
      </c>
      <c r="Z8" s="247">
        <f t="shared" ref="Z8" si="14">ROUND((X8+Y8),2)</f>
        <v>1364.64</v>
      </c>
      <c r="AA8" s="247">
        <f t="shared" ref="AA8" si="15">(U8+V8+W8+Z8)</f>
        <v>1364.64</v>
      </c>
      <c r="AB8" s="247">
        <f t="shared" ref="AB8" si="16">IF(U8&gt;=R8,R8,U8)</f>
        <v>0</v>
      </c>
      <c r="AC8" s="194">
        <f t="shared" ref="AC8" si="17">(Q8+AB8)-AA8</f>
        <v>3401.71</v>
      </c>
    </row>
    <row r="9" spans="1:29" ht="14.25" customHeight="1" x14ac:dyDescent="0.2">
      <c r="A9" s="50">
        <v>2</v>
      </c>
      <c r="B9" s="248" t="str">
        <f>'BİLGİ GİRİŞİ'!B4</f>
        <v>ŞERİFE</v>
      </c>
      <c r="C9" s="248" t="str">
        <f>'BİLGİ GİRİŞİ'!C4</f>
        <v>GÜNAL</v>
      </c>
      <c r="D9" s="237">
        <f t="shared" si="0"/>
        <v>11</v>
      </c>
      <c r="E9" s="238">
        <f>'EK DERS ÇİZELGESİ'!D5</f>
        <v>0</v>
      </c>
      <c r="F9" s="239">
        <f>'EK DERS ÇİZELGESİ'!E5</f>
        <v>0</v>
      </c>
      <c r="G9" s="240">
        <f>'EK DERS ÇİZELGESİ'!F5</f>
        <v>82</v>
      </c>
      <c r="H9" s="237">
        <f t="shared" si="1"/>
        <v>82</v>
      </c>
      <c r="I9" s="241">
        <f t="shared" si="2"/>
        <v>32.962299999999999</v>
      </c>
      <c r="J9" s="242">
        <f>I3*D1</f>
        <v>35.316749999999999</v>
      </c>
      <c r="K9" s="243">
        <f t="shared" si="3"/>
        <v>41.202874999999999</v>
      </c>
      <c r="L9" s="244">
        <f t="shared" si="4"/>
        <v>2702.91</v>
      </c>
      <c r="M9" s="245">
        <f t="shared" si="5"/>
        <v>0</v>
      </c>
      <c r="N9" s="246">
        <f t="shared" si="6"/>
        <v>0</v>
      </c>
      <c r="O9" s="247">
        <f t="shared" si="7"/>
        <v>2702.91</v>
      </c>
      <c r="P9" s="247">
        <f>ROUND((O9*20.5/100),2)</f>
        <v>554.1</v>
      </c>
      <c r="Q9" s="247">
        <f t="shared" si="8"/>
        <v>3257.0099999999998</v>
      </c>
      <c r="R9" s="247">
        <f>ASG.GEÇ.İND.BORD.!E7</f>
        <v>375.3</v>
      </c>
      <c r="S9" s="247">
        <f>'BİLGİ GİRİŞİ'!U4</f>
        <v>220.72499999999999</v>
      </c>
      <c r="T9" s="247">
        <f>ROUND((O9-(Y9)),2)</f>
        <v>2324.5</v>
      </c>
      <c r="U9" s="247">
        <f>ROUND((T9*15/100),2)*0</f>
        <v>0</v>
      </c>
      <c r="V9" s="247">
        <f>ROUND(MOD(O9*7.59/1000,1000000),2)*0</f>
        <v>0</v>
      </c>
      <c r="W9" s="247">
        <f>'BİLGİ GİRİŞİ'!H4</f>
        <v>0</v>
      </c>
      <c r="X9" s="247">
        <f t="shared" ref="X8:X15" si="18">P9</f>
        <v>554.1</v>
      </c>
      <c r="Y9" s="247">
        <f t="shared" ref="Y8:Y15" si="19">ROUND((O9*14/100),2)</f>
        <v>378.41</v>
      </c>
      <c r="Z9" s="247">
        <f t="shared" ref="Z8:Z15" si="20">ROUND((X9+Y9),2)</f>
        <v>932.51</v>
      </c>
      <c r="AA9" s="247">
        <f t="shared" ref="AA8:AA15" si="21">(U9+V9+W9+Z9)</f>
        <v>932.51</v>
      </c>
      <c r="AB9" s="247">
        <f t="shared" ref="AB8:AB15" si="22">IF(U9&gt;=R9,R9,U9)</f>
        <v>0</v>
      </c>
      <c r="AC9" s="194">
        <f t="shared" ref="AC8:AC15" si="23">(Q9+AB9)-AA9</f>
        <v>2324.5</v>
      </c>
    </row>
    <row r="10" spans="1:29" s="175" customFormat="1" ht="14.25" customHeight="1" x14ac:dyDescent="0.2">
      <c r="A10" s="50">
        <v>3</v>
      </c>
      <c r="B10" s="248" t="str">
        <f>'BİLGİ GİRİŞİ'!B5</f>
        <v>HATİCE</v>
      </c>
      <c r="C10" s="248" t="str">
        <f>'BİLGİ GİRİŞİ'!C5</f>
        <v>SUCU</v>
      </c>
      <c r="D10" s="237">
        <f t="shared" si="0"/>
        <v>7</v>
      </c>
      <c r="E10" s="238">
        <f>'EK DERS ÇİZELGESİ'!D6</f>
        <v>0</v>
      </c>
      <c r="F10" s="239">
        <f>'EK DERS ÇİZELGESİ'!E6</f>
        <v>0</v>
      </c>
      <c r="G10" s="240">
        <f>'EK DERS ÇİZELGESİ'!F6</f>
        <v>48</v>
      </c>
      <c r="H10" s="237">
        <f t="shared" si="1"/>
        <v>48</v>
      </c>
      <c r="I10" s="241">
        <f t="shared" si="2"/>
        <v>32.962299999999999</v>
      </c>
      <c r="J10" s="242">
        <f>I3*D1</f>
        <v>35.316749999999999</v>
      </c>
      <c r="K10" s="243">
        <f t="shared" si="3"/>
        <v>41.202874999999999</v>
      </c>
      <c r="L10" s="244">
        <f t="shared" si="4"/>
        <v>1582.19</v>
      </c>
      <c r="M10" s="245">
        <f t="shared" si="5"/>
        <v>0</v>
      </c>
      <c r="N10" s="246">
        <f t="shared" si="6"/>
        <v>0</v>
      </c>
      <c r="O10" s="247">
        <f t="shared" si="7"/>
        <v>1582.19</v>
      </c>
      <c r="P10" s="247">
        <f>ROUND((O10*20.5/100),2)</f>
        <v>324.35000000000002</v>
      </c>
      <c r="Q10" s="247">
        <f t="shared" si="8"/>
        <v>1906.54</v>
      </c>
      <c r="R10" s="247">
        <f>ASG.GEÇ.İND.BORD.!E8</f>
        <v>375.3</v>
      </c>
      <c r="S10" s="247">
        <f>'BİLGİ GİRİŞİ'!U5</f>
        <v>220.72499999999999</v>
      </c>
      <c r="T10" s="247">
        <f t="shared" ref="T10:T16" si="24">ROUND((O10-(Y10)),2)</f>
        <v>1360.68</v>
      </c>
      <c r="U10" s="247">
        <f t="shared" si="10"/>
        <v>0</v>
      </c>
      <c r="V10" s="247">
        <f t="shared" ref="V10:V16" si="25">ROUND(MOD(O10*7.59/1000,1000000),2)*0</f>
        <v>0</v>
      </c>
      <c r="W10" s="247">
        <f>'BİLGİ GİRİŞİ'!H5</f>
        <v>0</v>
      </c>
      <c r="X10" s="247">
        <f t="shared" ref="X10:X16" si="26">P10</f>
        <v>324.35000000000002</v>
      </c>
      <c r="Y10" s="247">
        <f t="shared" ref="Y10:Y16" si="27">ROUND((O10*14/100),2)</f>
        <v>221.51</v>
      </c>
      <c r="Z10" s="247">
        <f t="shared" ref="Z10:Z16" si="28">ROUND((X10+Y10),2)</f>
        <v>545.86</v>
      </c>
      <c r="AA10" s="247">
        <f t="shared" ref="AA10:AA16" si="29">(U10+V10+W10+Z10)</f>
        <v>545.86</v>
      </c>
      <c r="AB10" s="247">
        <f t="shared" ref="AB10:AB16" si="30">IF(U10&gt;=R10,R10,U10)</f>
        <v>0</v>
      </c>
      <c r="AC10" s="194">
        <f t="shared" ref="AC10:AC16" si="31">(Q10+AB10)-AA10</f>
        <v>1360.6799999999998</v>
      </c>
    </row>
    <row r="11" spans="1:29" ht="13.15" customHeight="1" x14ac:dyDescent="0.2">
      <c r="A11" s="50">
        <v>4</v>
      </c>
      <c r="B11" s="248" t="str">
        <f>'BİLGİ GİRİŞİ'!B6</f>
        <v>YASİN</v>
      </c>
      <c r="C11" s="248" t="str">
        <f>'BİLGİ GİRİŞİ'!C6</f>
        <v>DAYANKAÇ</v>
      </c>
      <c r="D11" s="237">
        <f t="shared" si="0"/>
        <v>12</v>
      </c>
      <c r="E11" s="238">
        <f>'EK DERS ÇİZELGESİ'!D7</f>
        <v>20</v>
      </c>
      <c r="F11" s="239">
        <f>'EK DERS ÇİZELGESİ'!E7</f>
        <v>0</v>
      </c>
      <c r="G11" s="240">
        <f>'EK DERS ÇİZELGESİ'!F7</f>
        <v>70</v>
      </c>
      <c r="H11" s="237">
        <f t="shared" si="1"/>
        <v>90</v>
      </c>
      <c r="I11" s="241">
        <f t="shared" si="2"/>
        <v>32.962299999999999</v>
      </c>
      <c r="J11" s="242">
        <f>I3*D1</f>
        <v>35.316749999999999</v>
      </c>
      <c r="K11" s="243">
        <f t="shared" si="3"/>
        <v>41.202874999999999</v>
      </c>
      <c r="L11" s="244">
        <f t="shared" si="4"/>
        <v>2307.36</v>
      </c>
      <c r="M11" s="245">
        <f t="shared" si="5"/>
        <v>706.34</v>
      </c>
      <c r="N11" s="246">
        <f t="shared" si="6"/>
        <v>0</v>
      </c>
      <c r="O11" s="247">
        <f t="shared" si="7"/>
        <v>3013.7000000000003</v>
      </c>
      <c r="P11" s="247">
        <f>ROUND((O11*20.5/100),2)</f>
        <v>617.80999999999995</v>
      </c>
      <c r="Q11" s="247">
        <f t="shared" si="8"/>
        <v>3631.51</v>
      </c>
      <c r="R11" s="247">
        <f>ASG.GEÇ.İND.BORD.!E9</f>
        <v>375.3</v>
      </c>
      <c r="S11" s="247">
        <f>'BİLGİ GİRİŞİ'!U6</f>
        <v>220.72499999999999</v>
      </c>
      <c r="T11" s="247">
        <f t="shared" si="24"/>
        <v>2591.7800000000002</v>
      </c>
      <c r="U11" s="247">
        <f t="shared" si="10"/>
        <v>0</v>
      </c>
      <c r="V11" s="247">
        <f t="shared" si="25"/>
        <v>0</v>
      </c>
      <c r="W11" s="247">
        <f>'BİLGİ GİRİŞİ'!H6</f>
        <v>0</v>
      </c>
      <c r="X11" s="247">
        <f t="shared" si="26"/>
        <v>617.80999999999995</v>
      </c>
      <c r="Y11" s="247">
        <f t="shared" si="27"/>
        <v>421.92</v>
      </c>
      <c r="Z11" s="247">
        <f t="shared" si="28"/>
        <v>1039.73</v>
      </c>
      <c r="AA11" s="247">
        <f t="shared" si="29"/>
        <v>1039.73</v>
      </c>
      <c r="AB11" s="247">
        <f t="shared" si="30"/>
        <v>0</v>
      </c>
      <c r="AC11" s="194">
        <f t="shared" si="31"/>
        <v>2591.7800000000002</v>
      </c>
    </row>
    <row r="12" spans="1:29" ht="11.45" customHeight="1" x14ac:dyDescent="0.2">
      <c r="A12" s="50">
        <v>5</v>
      </c>
      <c r="B12" s="248" t="str">
        <f>'BİLGİ GİRİŞİ'!B7</f>
        <v>REFİYE RANA</v>
      </c>
      <c r="C12" s="248" t="str">
        <f>'BİLGİ GİRİŞİ'!C7</f>
        <v>TOK</v>
      </c>
      <c r="D12" s="237">
        <f t="shared" si="0"/>
        <v>17</v>
      </c>
      <c r="E12" s="238">
        <f>'EK DERS ÇİZELGESİ'!D8</f>
        <v>9</v>
      </c>
      <c r="F12" s="239">
        <f>'EK DERS ÇİZELGESİ'!E8</f>
        <v>51</v>
      </c>
      <c r="G12" s="240">
        <f>'EK DERS ÇİZELGESİ'!F8</f>
        <v>65</v>
      </c>
      <c r="H12" s="237">
        <f t="shared" si="1"/>
        <v>125</v>
      </c>
      <c r="I12" s="241">
        <f t="shared" si="2"/>
        <v>32.962299999999999</v>
      </c>
      <c r="J12" s="242">
        <f>I3*D1</f>
        <v>35.316749999999999</v>
      </c>
      <c r="K12" s="243">
        <f t="shared" si="3"/>
        <v>41.202874999999999</v>
      </c>
      <c r="L12" s="244">
        <f t="shared" si="4"/>
        <v>2142.5500000000002</v>
      </c>
      <c r="M12" s="245">
        <f t="shared" si="5"/>
        <v>317.85000000000002</v>
      </c>
      <c r="N12" s="246">
        <f t="shared" si="6"/>
        <v>2101.35</v>
      </c>
      <c r="O12" s="247">
        <f t="shared" si="7"/>
        <v>4561.75</v>
      </c>
      <c r="P12" s="247">
        <f>ROUND((O12*20.5/100),2)+0.02</f>
        <v>935.18</v>
      </c>
      <c r="Q12" s="247">
        <f t="shared" si="8"/>
        <v>5496.93</v>
      </c>
      <c r="R12" s="247">
        <f>ASG.GEÇ.İND.BORD.!E10</f>
        <v>375.3</v>
      </c>
      <c r="S12" s="247">
        <f>'BİLGİ GİRİŞİ'!U7</f>
        <v>220.72499999999999</v>
      </c>
      <c r="T12" s="247">
        <f t="shared" si="24"/>
        <v>3923.1</v>
      </c>
      <c r="U12" s="247">
        <f t="shared" si="10"/>
        <v>0</v>
      </c>
      <c r="V12" s="247">
        <f t="shared" si="25"/>
        <v>0</v>
      </c>
      <c r="W12" s="247">
        <f>'BİLGİ GİRİŞİ'!H7</f>
        <v>0</v>
      </c>
      <c r="X12" s="247">
        <f t="shared" si="26"/>
        <v>935.18</v>
      </c>
      <c r="Y12" s="247">
        <f t="shared" si="27"/>
        <v>638.65</v>
      </c>
      <c r="Z12" s="247">
        <f t="shared" si="28"/>
        <v>1573.83</v>
      </c>
      <c r="AA12" s="247">
        <f t="shared" si="29"/>
        <v>1573.83</v>
      </c>
      <c r="AB12" s="247">
        <f t="shared" si="30"/>
        <v>0</v>
      </c>
      <c r="AC12" s="194">
        <f t="shared" si="31"/>
        <v>3923.1000000000004</v>
      </c>
    </row>
    <row r="13" spans="1:29" ht="14.25" customHeight="1" x14ac:dyDescent="0.2">
      <c r="A13" s="50">
        <v>6</v>
      </c>
      <c r="B13" s="248" t="str">
        <f>'BİLGİ GİRİŞİ'!B8</f>
        <v>YUSUF</v>
      </c>
      <c r="C13" s="248" t="str">
        <f>'BİLGİ GİRİŞİ'!C8</f>
        <v>ARABACI</v>
      </c>
      <c r="D13" s="237">
        <f t="shared" si="0"/>
        <v>8</v>
      </c>
      <c r="E13" s="238">
        <f>'EK DERS ÇİZELGESİ'!D9</f>
        <v>18</v>
      </c>
      <c r="F13" s="239">
        <f>'EK DERS ÇİZELGESİ'!E9</f>
        <v>0</v>
      </c>
      <c r="G13" s="240">
        <f>'EK DERS ÇİZELGESİ'!F9</f>
        <v>35</v>
      </c>
      <c r="H13" s="237">
        <f t="shared" si="1"/>
        <v>53</v>
      </c>
      <c r="I13" s="241">
        <f t="shared" si="2"/>
        <v>32.962299999999999</v>
      </c>
      <c r="J13" s="242">
        <f>I3*D1</f>
        <v>35.316749999999999</v>
      </c>
      <c r="K13" s="243">
        <f t="shared" si="3"/>
        <v>41.202874999999999</v>
      </c>
      <c r="L13" s="244">
        <f t="shared" si="4"/>
        <v>1153.68</v>
      </c>
      <c r="M13" s="245">
        <f t="shared" si="5"/>
        <v>635.70000000000005</v>
      </c>
      <c r="N13" s="246">
        <f t="shared" si="6"/>
        <v>0</v>
      </c>
      <c r="O13" s="247">
        <f t="shared" si="7"/>
        <v>1789.38</v>
      </c>
      <c r="P13" s="247">
        <f>ROUND((O13*20.5/100),2)+0.02</f>
        <v>366.84</v>
      </c>
      <c r="Q13" s="247">
        <f t="shared" si="8"/>
        <v>2156.2200000000003</v>
      </c>
      <c r="R13" s="247">
        <f>ASG.GEÇ.İND.BORD.!E11</f>
        <v>0</v>
      </c>
      <c r="S13" s="247">
        <f>'BİLGİ GİRİŞİ'!U8</f>
        <v>0</v>
      </c>
      <c r="T13" s="247">
        <f t="shared" si="24"/>
        <v>1538.87</v>
      </c>
      <c r="U13" s="247">
        <f t="shared" si="10"/>
        <v>0</v>
      </c>
      <c r="V13" s="247">
        <f t="shared" si="25"/>
        <v>0</v>
      </c>
      <c r="W13" s="247">
        <f>'BİLGİ GİRİŞİ'!H8</f>
        <v>0</v>
      </c>
      <c r="X13" s="247">
        <f t="shared" si="26"/>
        <v>366.84</v>
      </c>
      <c r="Y13" s="247">
        <f t="shared" si="27"/>
        <v>250.51</v>
      </c>
      <c r="Z13" s="247">
        <f t="shared" si="28"/>
        <v>617.35</v>
      </c>
      <c r="AA13" s="247">
        <f t="shared" si="29"/>
        <v>617.35</v>
      </c>
      <c r="AB13" s="247">
        <f t="shared" si="30"/>
        <v>0</v>
      </c>
      <c r="AC13" s="194">
        <f t="shared" si="31"/>
        <v>1538.8700000000003</v>
      </c>
    </row>
    <row r="14" spans="1:29" ht="14.25" customHeight="1" x14ac:dyDescent="0.2">
      <c r="A14" s="50">
        <v>7</v>
      </c>
      <c r="B14" s="248" t="str">
        <f>'BİLGİ GİRİŞİ'!B9</f>
        <v>ASLI</v>
      </c>
      <c r="C14" s="248" t="str">
        <f>'BİLGİ GİRİŞİ'!C9</f>
        <v>ÜSTELİK</v>
      </c>
      <c r="D14" s="237">
        <f t="shared" si="0"/>
        <v>10</v>
      </c>
      <c r="E14" s="238">
        <f>'EK DERS ÇİZELGESİ'!D10</f>
        <v>0</v>
      </c>
      <c r="F14" s="239">
        <f>'EK DERS ÇİZELGESİ'!E10</f>
        <v>0</v>
      </c>
      <c r="G14" s="240">
        <f>'EK DERS ÇİZELGESİ'!F10</f>
        <v>75</v>
      </c>
      <c r="H14" s="237">
        <f t="shared" si="1"/>
        <v>75</v>
      </c>
      <c r="I14" s="241">
        <f t="shared" si="2"/>
        <v>32.962299999999999</v>
      </c>
      <c r="J14" s="242">
        <f>I3*D1</f>
        <v>35.316749999999999</v>
      </c>
      <c r="K14" s="243">
        <f t="shared" si="3"/>
        <v>41.202874999999999</v>
      </c>
      <c r="L14" s="244">
        <f t="shared" si="4"/>
        <v>2472.17</v>
      </c>
      <c r="M14" s="245">
        <f t="shared" si="5"/>
        <v>0</v>
      </c>
      <c r="N14" s="246">
        <f t="shared" si="6"/>
        <v>0</v>
      </c>
      <c r="O14" s="247">
        <f t="shared" si="7"/>
        <v>2472.17</v>
      </c>
      <c r="P14" s="247">
        <f>ROUND((O14*20.5/100),2)+0.02</f>
        <v>506.81</v>
      </c>
      <c r="Q14" s="247">
        <f t="shared" si="8"/>
        <v>2978.98</v>
      </c>
      <c r="R14" s="247">
        <f>ASG.GEÇ.İND.BORD.!E12</f>
        <v>0</v>
      </c>
      <c r="S14" s="247">
        <f>'BİLGİ GİRİŞİ'!U9</f>
        <v>0</v>
      </c>
      <c r="T14" s="247">
        <f t="shared" si="24"/>
        <v>2126.0700000000002</v>
      </c>
      <c r="U14" s="247">
        <f t="shared" si="10"/>
        <v>0</v>
      </c>
      <c r="V14" s="247">
        <f t="shared" si="25"/>
        <v>0</v>
      </c>
      <c r="W14" s="247">
        <f>'BİLGİ GİRİŞİ'!H9</f>
        <v>0</v>
      </c>
      <c r="X14" s="247">
        <f t="shared" si="26"/>
        <v>506.81</v>
      </c>
      <c r="Y14" s="247">
        <f t="shared" si="27"/>
        <v>346.1</v>
      </c>
      <c r="Z14" s="247">
        <f t="shared" si="28"/>
        <v>852.91</v>
      </c>
      <c r="AA14" s="247">
        <f t="shared" si="29"/>
        <v>852.91</v>
      </c>
      <c r="AB14" s="247">
        <f t="shared" si="30"/>
        <v>0</v>
      </c>
      <c r="AC14" s="194">
        <f t="shared" si="31"/>
        <v>2126.0700000000002</v>
      </c>
    </row>
    <row r="15" spans="1:29" ht="14.25" customHeight="1" x14ac:dyDescent="0.2">
      <c r="A15" s="50">
        <v>8</v>
      </c>
      <c r="B15" s="248" t="str">
        <f>'BİLGİ GİRİŞİ'!B10</f>
        <v>ÖZNUR</v>
      </c>
      <c r="C15" s="248" t="str">
        <f>'BİLGİ GİRİŞİ'!C10</f>
        <v>ATACAN</v>
      </c>
      <c r="D15" s="237">
        <f t="shared" si="0"/>
        <v>13</v>
      </c>
      <c r="E15" s="238">
        <f>'EK DERS ÇİZELGESİ'!D11</f>
        <v>0</v>
      </c>
      <c r="F15" s="239">
        <f>'EK DERS ÇİZELGESİ'!E11</f>
        <v>96</v>
      </c>
      <c r="G15" s="240">
        <f>'EK DERS ÇİZELGESİ'!F11</f>
        <v>0</v>
      </c>
      <c r="H15" s="237">
        <f t="shared" si="1"/>
        <v>96</v>
      </c>
      <c r="I15" s="241">
        <f t="shared" si="2"/>
        <v>32.962299999999999</v>
      </c>
      <c r="J15" s="242">
        <f>I3*D1</f>
        <v>35.316749999999999</v>
      </c>
      <c r="K15" s="243">
        <f t="shared" si="3"/>
        <v>41.202874999999999</v>
      </c>
      <c r="L15" s="244">
        <f t="shared" si="4"/>
        <v>0</v>
      </c>
      <c r="M15" s="245">
        <f t="shared" si="5"/>
        <v>0</v>
      </c>
      <c r="N15" s="246">
        <f t="shared" si="6"/>
        <v>3955.48</v>
      </c>
      <c r="O15" s="247">
        <f t="shared" si="7"/>
        <v>3955.48</v>
      </c>
      <c r="P15" s="247">
        <f>ROUND((O15*20.5/100),2)+0.02</f>
        <v>810.89</v>
      </c>
      <c r="Q15" s="247">
        <f t="shared" si="8"/>
        <v>4766.37</v>
      </c>
      <c r="R15" s="247">
        <f>ASG.GEÇ.İND.BORD.!E13</f>
        <v>0</v>
      </c>
      <c r="S15" s="247">
        <f>'BİLGİ GİRİŞİ'!U10</f>
        <v>0</v>
      </c>
      <c r="T15" s="247">
        <f t="shared" si="24"/>
        <v>3401.71</v>
      </c>
      <c r="U15" s="247">
        <f t="shared" si="10"/>
        <v>0</v>
      </c>
      <c r="V15" s="247">
        <f t="shared" si="25"/>
        <v>0</v>
      </c>
      <c r="W15" s="247">
        <f>'BİLGİ GİRİŞİ'!H10</f>
        <v>0</v>
      </c>
      <c r="X15" s="247">
        <f t="shared" si="26"/>
        <v>810.89</v>
      </c>
      <c r="Y15" s="247">
        <f t="shared" si="27"/>
        <v>553.77</v>
      </c>
      <c r="Z15" s="247">
        <f t="shared" si="28"/>
        <v>1364.66</v>
      </c>
      <c r="AA15" s="247">
        <f t="shared" si="29"/>
        <v>1364.66</v>
      </c>
      <c r="AB15" s="247">
        <f t="shared" si="30"/>
        <v>0</v>
      </c>
      <c r="AC15" s="194">
        <f t="shared" si="31"/>
        <v>3401.71</v>
      </c>
    </row>
    <row r="16" spans="1:29" ht="14.25" customHeight="1" x14ac:dyDescent="0.2">
      <c r="A16" s="50">
        <v>9</v>
      </c>
      <c r="B16" s="248" t="str">
        <f>'BİLGİ GİRİŞİ'!B11</f>
        <v>YASEMİN</v>
      </c>
      <c r="C16" s="248" t="str">
        <f>'BİLGİ GİRİŞİ'!C11</f>
        <v>TOKTAŞ</v>
      </c>
      <c r="D16" s="237">
        <f t="shared" ref="D16" si="32">ROUNDUP(H16/7.5,0)</f>
        <v>11</v>
      </c>
      <c r="E16" s="238">
        <f>'EK DERS ÇİZELGESİ'!D12</f>
        <v>0</v>
      </c>
      <c r="F16" s="239">
        <f>'EK DERS ÇİZELGESİ'!E12</f>
        <v>1</v>
      </c>
      <c r="G16" s="240">
        <f>'EK DERS ÇİZELGESİ'!F12</f>
        <v>75</v>
      </c>
      <c r="H16" s="237">
        <f t="shared" ref="H16" si="33">SUM(E16:G16)</f>
        <v>76</v>
      </c>
      <c r="I16" s="241">
        <f t="shared" si="2"/>
        <v>32.962299999999999</v>
      </c>
      <c r="J16" s="242">
        <f>I3*D1</f>
        <v>35.316749999999999</v>
      </c>
      <c r="K16" s="243">
        <f t="shared" ref="K16" si="34">I16*1.25</f>
        <v>41.202874999999999</v>
      </c>
      <c r="L16" s="244">
        <f t="shared" ref="L16" si="35">ROUND(I16*G16,2)</f>
        <v>2472.17</v>
      </c>
      <c r="M16" s="245">
        <f t="shared" ref="M16" si="36">ROUND(J16*E16,2)</f>
        <v>0</v>
      </c>
      <c r="N16" s="246">
        <f t="shared" ref="N16" si="37">ROUND(F16*K16,2)</f>
        <v>41.2</v>
      </c>
      <c r="O16" s="247">
        <f t="shared" ref="O16" si="38">SUM(L16:N16)</f>
        <v>2513.37</v>
      </c>
      <c r="P16" s="247">
        <f>ROUND((O16*20.5/100),2)+0.02</f>
        <v>515.26</v>
      </c>
      <c r="Q16" s="247">
        <f t="shared" ref="Q16" si="39">O16+P16</f>
        <v>3028.63</v>
      </c>
      <c r="R16" s="247">
        <f>ASG.GEÇ.İND.BORD.!E14</f>
        <v>0</v>
      </c>
      <c r="S16" s="247">
        <f>'BİLGİ GİRİŞİ'!U11</f>
        <v>0</v>
      </c>
      <c r="T16" s="247">
        <f t="shared" si="24"/>
        <v>2161.5</v>
      </c>
      <c r="U16" s="247">
        <f t="shared" si="10"/>
        <v>0</v>
      </c>
      <c r="V16" s="247">
        <f t="shared" si="25"/>
        <v>0</v>
      </c>
      <c r="W16" s="247">
        <f>'BİLGİ GİRİŞİ'!H11</f>
        <v>0</v>
      </c>
      <c r="X16" s="247">
        <f t="shared" si="26"/>
        <v>515.26</v>
      </c>
      <c r="Y16" s="247">
        <f t="shared" si="27"/>
        <v>351.87</v>
      </c>
      <c r="Z16" s="247">
        <f t="shared" si="28"/>
        <v>867.13</v>
      </c>
      <c r="AA16" s="247">
        <f t="shared" si="29"/>
        <v>867.13</v>
      </c>
      <c r="AB16" s="247">
        <f t="shared" si="30"/>
        <v>0</v>
      </c>
      <c r="AC16" s="194">
        <f t="shared" si="31"/>
        <v>2161.5</v>
      </c>
    </row>
    <row r="17" spans="1:29" ht="14.25" hidden="1" customHeight="1" x14ac:dyDescent="0.2">
      <c r="A17" s="50">
        <f>'BİLGİ GİRİŞİ'!A12</f>
        <v>10</v>
      </c>
      <c r="B17" s="90">
        <f>'BİLGİ GİRİŞİ'!B12</f>
        <v>0</v>
      </c>
      <c r="C17" s="90">
        <f>'BİLGİ GİRİŞİ'!C12</f>
        <v>0</v>
      </c>
      <c r="D17" s="50">
        <f t="shared" ref="D17:D55" si="40">ROUNDUP(H17/7.5,0)</f>
        <v>0</v>
      </c>
      <c r="E17" s="50"/>
      <c r="F17" s="50"/>
      <c r="G17" s="50"/>
      <c r="H17" s="50">
        <f>'BİLGİ GİRİŞİ'!G12</f>
        <v>0</v>
      </c>
      <c r="I17" s="51">
        <f t="shared" si="2"/>
        <v>32.962299999999999</v>
      </c>
      <c r="J17" s="191"/>
      <c r="K17" s="191"/>
      <c r="L17" s="191"/>
      <c r="M17" s="191"/>
      <c r="N17" s="191"/>
      <c r="O17" s="52">
        <f t="shared" ref="O17:O55" si="41">ROUND(H17*I17,2)</f>
        <v>0</v>
      </c>
      <c r="P17" s="52">
        <f t="shared" ref="P17:P55" si="42">ROUND((O17*20.5/100),2)</f>
        <v>0</v>
      </c>
      <c r="Q17" s="52">
        <f t="shared" ref="Q17:Q55" si="43">O17+P17</f>
        <v>0</v>
      </c>
      <c r="R17" s="247">
        <f>ASG.GEÇ.İND.BORD.!E15</f>
        <v>0</v>
      </c>
      <c r="S17" s="52">
        <f>'BİLGİ GİRİŞİ'!U12</f>
        <v>0</v>
      </c>
      <c r="T17" s="52">
        <f t="shared" ref="T17:T55" si="44">ROUND((O17-(Y17)),2)</f>
        <v>0</v>
      </c>
      <c r="U17" s="52">
        <f t="shared" ref="U17:U55" si="45">ROUND((T17*15/100),2)</f>
        <v>0</v>
      </c>
      <c r="V17" s="52">
        <f t="shared" ref="V17:V55" si="46">ROUND(MOD(O17*7.59/1000,1000000),2)</f>
        <v>0</v>
      </c>
      <c r="W17" s="52">
        <f>'BİLGİ GİRİŞİ'!H12</f>
        <v>0</v>
      </c>
      <c r="X17" s="52">
        <f t="shared" ref="X17:X55" si="47">P17</f>
        <v>0</v>
      </c>
      <c r="Y17" s="52">
        <f t="shared" ref="Y17:Y55" si="48">ROUND((O17*14/100),2)</f>
        <v>0</v>
      </c>
      <c r="Z17" s="52">
        <f t="shared" ref="Z17:Z55" si="49">ROUND((X17+Y17),2)</f>
        <v>0</v>
      </c>
      <c r="AA17" s="52">
        <f t="shared" ref="AA17:AA55" si="50">(U17+V17+W17+Z17)</f>
        <v>0</v>
      </c>
      <c r="AB17" s="192">
        <f t="shared" ref="AB17:AB55" si="51">IF(U17&gt;=R17,R17,U17)</f>
        <v>0</v>
      </c>
      <c r="AC17" s="52">
        <f t="shared" ref="AC17:AC55" si="52">(Q17+AB17)-AA17</f>
        <v>0</v>
      </c>
    </row>
    <row r="18" spans="1:29" ht="14.25" hidden="1" customHeight="1" x14ac:dyDescent="0.2">
      <c r="A18" s="50">
        <f>'BİLGİ GİRİŞİ'!A13</f>
        <v>11</v>
      </c>
      <c r="B18" s="90">
        <f>'BİLGİ GİRİŞİ'!B13</f>
        <v>0</v>
      </c>
      <c r="C18" s="90">
        <f>'BİLGİ GİRİŞİ'!C13</f>
        <v>0</v>
      </c>
      <c r="D18" s="50">
        <f t="shared" si="40"/>
        <v>0</v>
      </c>
      <c r="E18" s="50"/>
      <c r="F18" s="50"/>
      <c r="G18" s="50"/>
      <c r="H18" s="50">
        <f>'BİLGİ GİRİŞİ'!G13</f>
        <v>0</v>
      </c>
      <c r="I18" s="51">
        <f t="shared" si="2"/>
        <v>32.962299999999999</v>
      </c>
      <c r="J18" s="191"/>
      <c r="K18" s="191"/>
      <c r="L18" s="191"/>
      <c r="M18" s="191"/>
      <c r="N18" s="191"/>
      <c r="O18" s="52">
        <f t="shared" si="41"/>
        <v>0</v>
      </c>
      <c r="P18" s="52">
        <f t="shared" si="42"/>
        <v>0</v>
      </c>
      <c r="Q18" s="52">
        <f t="shared" si="43"/>
        <v>0</v>
      </c>
      <c r="R18" s="247">
        <f>ASG.GEÇ.İND.BORD.!E16</f>
        <v>0</v>
      </c>
      <c r="S18" s="52">
        <f>'BİLGİ GİRİŞİ'!U13</f>
        <v>0</v>
      </c>
      <c r="T18" s="52">
        <f t="shared" si="44"/>
        <v>0</v>
      </c>
      <c r="U18" s="52">
        <f t="shared" si="45"/>
        <v>0</v>
      </c>
      <c r="V18" s="52">
        <f t="shared" si="46"/>
        <v>0</v>
      </c>
      <c r="W18" s="52">
        <f>'BİLGİ GİRİŞİ'!H13</f>
        <v>0</v>
      </c>
      <c r="X18" s="52">
        <f t="shared" si="47"/>
        <v>0</v>
      </c>
      <c r="Y18" s="52">
        <f t="shared" si="48"/>
        <v>0</v>
      </c>
      <c r="Z18" s="52">
        <f t="shared" si="49"/>
        <v>0</v>
      </c>
      <c r="AA18" s="52">
        <f t="shared" si="50"/>
        <v>0</v>
      </c>
      <c r="AB18" s="192">
        <f t="shared" si="51"/>
        <v>0</v>
      </c>
      <c r="AC18" s="52">
        <f t="shared" si="52"/>
        <v>0</v>
      </c>
    </row>
    <row r="19" spans="1:29" ht="14.25" hidden="1" customHeight="1" x14ac:dyDescent="0.2">
      <c r="A19" s="50">
        <f>'BİLGİ GİRİŞİ'!A14</f>
        <v>12</v>
      </c>
      <c r="B19" s="90">
        <f>'BİLGİ GİRİŞİ'!B14</f>
        <v>0</v>
      </c>
      <c r="C19" s="90">
        <f>'BİLGİ GİRİŞİ'!C14</f>
        <v>0</v>
      </c>
      <c r="D19" s="50">
        <f t="shared" si="40"/>
        <v>0</v>
      </c>
      <c r="E19" s="50"/>
      <c r="F19" s="50"/>
      <c r="G19" s="50"/>
      <c r="H19" s="50">
        <f>'BİLGİ GİRİŞİ'!G14</f>
        <v>0</v>
      </c>
      <c r="I19" s="51">
        <f t="shared" si="2"/>
        <v>32.962299999999999</v>
      </c>
      <c r="J19" s="191"/>
      <c r="K19" s="191"/>
      <c r="L19" s="191"/>
      <c r="M19" s="191"/>
      <c r="N19" s="191"/>
      <c r="O19" s="52">
        <f t="shared" si="41"/>
        <v>0</v>
      </c>
      <c r="P19" s="52">
        <f t="shared" si="42"/>
        <v>0</v>
      </c>
      <c r="Q19" s="52">
        <f t="shared" si="43"/>
        <v>0</v>
      </c>
      <c r="R19" s="247">
        <f>ASG.GEÇ.İND.BORD.!E17</f>
        <v>0</v>
      </c>
      <c r="S19" s="52">
        <f>'BİLGİ GİRİŞİ'!U14</f>
        <v>0</v>
      </c>
      <c r="T19" s="52">
        <f t="shared" si="44"/>
        <v>0</v>
      </c>
      <c r="U19" s="52">
        <f t="shared" si="45"/>
        <v>0</v>
      </c>
      <c r="V19" s="52">
        <f t="shared" si="46"/>
        <v>0</v>
      </c>
      <c r="W19" s="52">
        <f>'BİLGİ GİRİŞİ'!H14</f>
        <v>0</v>
      </c>
      <c r="X19" s="52">
        <f t="shared" si="47"/>
        <v>0</v>
      </c>
      <c r="Y19" s="52">
        <f t="shared" si="48"/>
        <v>0</v>
      </c>
      <c r="Z19" s="52">
        <f t="shared" si="49"/>
        <v>0</v>
      </c>
      <c r="AA19" s="52">
        <f t="shared" si="50"/>
        <v>0</v>
      </c>
      <c r="AB19" s="192">
        <f t="shared" si="51"/>
        <v>0</v>
      </c>
      <c r="AC19" s="52">
        <f t="shared" si="52"/>
        <v>0</v>
      </c>
    </row>
    <row r="20" spans="1:29" ht="14.25" hidden="1" customHeight="1" x14ac:dyDescent="0.2">
      <c r="A20" s="50">
        <f>'BİLGİ GİRİŞİ'!A15</f>
        <v>13</v>
      </c>
      <c r="B20" s="90">
        <f>'BİLGİ GİRİŞİ'!B15</f>
        <v>0</v>
      </c>
      <c r="C20" s="90">
        <f>'BİLGİ GİRİŞİ'!C15</f>
        <v>0</v>
      </c>
      <c r="D20" s="50">
        <f t="shared" si="40"/>
        <v>0</v>
      </c>
      <c r="E20" s="50"/>
      <c r="F20" s="50"/>
      <c r="G20" s="50"/>
      <c r="H20" s="50">
        <f>'BİLGİ GİRİŞİ'!G15</f>
        <v>0</v>
      </c>
      <c r="I20" s="51">
        <f t="shared" si="2"/>
        <v>32.962299999999999</v>
      </c>
      <c r="J20" s="191"/>
      <c r="K20" s="191"/>
      <c r="L20" s="191"/>
      <c r="M20" s="191"/>
      <c r="N20" s="191"/>
      <c r="O20" s="52">
        <f t="shared" si="41"/>
        <v>0</v>
      </c>
      <c r="P20" s="52">
        <f t="shared" si="42"/>
        <v>0</v>
      </c>
      <c r="Q20" s="52">
        <f t="shared" si="43"/>
        <v>0</v>
      </c>
      <c r="R20" s="247">
        <f>ASG.GEÇ.İND.BORD.!E18</f>
        <v>0</v>
      </c>
      <c r="S20" s="52">
        <f>'BİLGİ GİRİŞİ'!U15</f>
        <v>0</v>
      </c>
      <c r="T20" s="52">
        <f t="shared" si="44"/>
        <v>0</v>
      </c>
      <c r="U20" s="52">
        <f t="shared" si="45"/>
        <v>0</v>
      </c>
      <c r="V20" s="52">
        <f t="shared" si="46"/>
        <v>0</v>
      </c>
      <c r="W20" s="52">
        <f>'BİLGİ GİRİŞİ'!H15</f>
        <v>0</v>
      </c>
      <c r="X20" s="52">
        <f t="shared" si="47"/>
        <v>0</v>
      </c>
      <c r="Y20" s="52">
        <f t="shared" si="48"/>
        <v>0</v>
      </c>
      <c r="Z20" s="52">
        <f t="shared" si="49"/>
        <v>0</v>
      </c>
      <c r="AA20" s="52">
        <f t="shared" si="50"/>
        <v>0</v>
      </c>
      <c r="AB20" s="192">
        <f t="shared" si="51"/>
        <v>0</v>
      </c>
      <c r="AC20" s="52">
        <f t="shared" si="52"/>
        <v>0</v>
      </c>
    </row>
    <row r="21" spans="1:29" ht="14.25" hidden="1" customHeight="1" x14ac:dyDescent="0.2">
      <c r="A21" s="50">
        <f>'BİLGİ GİRİŞİ'!A16</f>
        <v>14</v>
      </c>
      <c r="B21" s="90">
        <f>'BİLGİ GİRİŞİ'!B16</f>
        <v>0</v>
      </c>
      <c r="C21" s="90">
        <f>'BİLGİ GİRİŞİ'!C16</f>
        <v>0</v>
      </c>
      <c r="D21" s="50">
        <f t="shared" si="40"/>
        <v>0</v>
      </c>
      <c r="E21" s="50"/>
      <c r="F21" s="50"/>
      <c r="G21" s="50"/>
      <c r="H21" s="50">
        <f>'BİLGİ GİRİŞİ'!G16</f>
        <v>0</v>
      </c>
      <c r="I21" s="51">
        <f t="shared" si="2"/>
        <v>32.962299999999999</v>
      </c>
      <c r="J21" s="191"/>
      <c r="K21" s="191"/>
      <c r="L21" s="191"/>
      <c r="M21" s="191"/>
      <c r="N21" s="191"/>
      <c r="O21" s="52">
        <f t="shared" si="41"/>
        <v>0</v>
      </c>
      <c r="P21" s="52">
        <f t="shared" si="42"/>
        <v>0</v>
      </c>
      <c r="Q21" s="52">
        <f t="shared" si="43"/>
        <v>0</v>
      </c>
      <c r="R21" s="247">
        <f>ASG.GEÇ.İND.BORD.!E19</f>
        <v>0</v>
      </c>
      <c r="S21" s="52">
        <f>'BİLGİ GİRİŞİ'!U16</f>
        <v>0</v>
      </c>
      <c r="T21" s="52">
        <f t="shared" si="44"/>
        <v>0</v>
      </c>
      <c r="U21" s="52">
        <f t="shared" si="45"/>
        <v>0</v>
      </c>
      <c r="V21" s="52">
        <f t="shared" si="46"/>
        <v>0</v>
      </c>
      <c r="W21" s="52">
        <f>'BİLGİ GİRİŞİ'!H16</f>
        <v>0</v>
      </c>
      <c r="X21" s="52">
        <f t="shared" si="47"/>
        <v>0</v>
      </c>
      <c r="Y21" s="52">
        <f t="shared" si="48"/>
        <v>0</v>
      </c>
      <c r="Z21" s="52">
        <f t="shared" si="49"/>
        <v>0</v>
      </c>
      <c r="AA21" s="52">
        <f t="shared" si="50"/>
        <v>0</v>
      </c>
      <c r="AB21" s="192">
        <f t="shared" si="51"/>
        <v>0</v>
      </c>
      <c r="AC21" s="52">
        <f t="shared" si="52"/>
        <v>0</v>
      </c>
    </row>
    <row r="22" spans="1:29" ht="14.25" hidden="1" customHeight="1" x14ac:dyDescent="0.2">
      <c r="A22" s="50">
        <f>'BİLGİ GİRİŞİ'!A17</f>
        <v>15</v>
      </c>
      <c r="B22" s="90">
        <f>'BİLGİ GİRİŞİ'!B17</f>
        <v>0</v>
      </c>
      <c r="C22" s="90">
        <f>'BİLGİ GİRİŞİ'!C17</f>
        <v>0</v>
      </c>
      <c r="D22" s="50">
        <f t="shared" si="40"/>
        <v>0</v>
      </c>
      <c r="E22" s="50"/>
      <c r="F22" s="50"/>
      <c r="G22" s="50"/>
      <c r="H22" s="50">
        <f>'BİLGİ GİRİŞİ'!G17</f>
        <v>0</v>
      </c>
      <c r="I22" s="51">
        <f t="shared" si="2"/>
        <v>32.962299999999999</v>
      </c>
      <c r="J22" s="191"/>
      <c r="K22" s="191"/>
      <c r="L22" s="191"/>
      <c r="M22" s="191"/>
      <c r="N22" s="191"/>
      <c r="O22" s="52">
        <f t="shared" si="41"/>
        <v>0</v>
      </c>
      <c r="P22" s="52">
        <f t="shared" si="42"/>
        <v>0</v>
      </c>
      <c r="Q22" s="52">
        <f t="shared" si="43"/>
        <v>0</v>
      </c>
      <c r="R22" s="247">
        <f>ASG.GEÇ.İND.BORD.!E20</f>
        <v>0</v>
      </c>
      <c r="S22" s="52">
        <f>'BİLGİ GİRİŞİ'!U17</f>
        <v>0</v>
      </c>
      <c r="T22" s="52">
        <f t="shared" si="44"/>
        <v>0</v>
      </c>
      <c r="U22" s="52">
        <f t="shared" si="45"/>
        <v>0</v>
      </c>
      <c r="V22" s="52">
        <f t="shared" si="46"/>
        <v>0</v>
      </c>
      <c r="W22" s="52">
        <f>'BİLGİ GİRİŞİ'!H17</f>
        <v>0</v>
      </c>
      <c r="X22" s="52">
        <f t="shared" si="47"/>
        <v>0</v>
      </c>
      <c r="Y22" s="52">
        <f t="shared" si="48"/>
        <v>0</v>
      </c>
      <c r="Z22" s="52">
        <f t="shared" si="49"/>
        <v>0</v>
      </c>
      <c r="AA22" s="52">
        <f t="shared" si="50"/>
        <v>0</v>
      </c>
      <c r="AB22" s="192">
        <f t="shared" si="51"/>
        <v>0</v>
      </c>
      <c r="AC22" s="52">
        <f t="shared" si="52"/>
        <v>0</v>
      </c>
    </row>
    <row r="23" spans="1:29" ht="14.25" hidden="1" customHeight="1" x14ac:dyDescent="0.2">
      <c r="A23" s="50">
        <f>'BİLGİ GİRİŞİ'!A18</f>
        <v>16</v>
      </c>
      <c r="B23" s="90">
        <f>'BİLGİ GİRİŞİ'!B18</f>
        <v>0</v>
      </c>
      <c r="C23" s="90">
        <f>'BİLGİ GİRİŞİ'!C18</f>
        <v>0</v>
      </c>
      <c r="D23" s="50">
        <f t="shared" si="40"/>
        <v>0</v>
      </c>
      <c r="E23" s="50"/>
      <c r="F23" s="50"/>
      <c r="G23" s="50"/>
      <c r="H23" s="50">
        <f>'BİLGİ GİRİŞİ'!G18</f>
        <v>0</v>
      </c>
      <c r="I23" s="51">
        <f t="shared" si="2"/>
        <v>32.962299999999999</v>
      </c>
      <c r="J23" s="191"/>
      <c r="K23" s="191"/>
      <c r="L23" s="191"/>
      <c r="M23" s="191"/>
      <c r="N23" s="191"/>
      <c r="O23" s="52">
        <f t="shared" si="41"/>
        <v>0</v>
      </c>
      <c r="P23" s="52">
        <f t="shared" si="42"/>
        <v>0</v>
      </c>
      <c r="Q23" s="52">
        <f t="shared" si="43"/>
        <v>0</v>
      </c>
      <c r="R23" s="247">
        <f>ASG.GEÇ.İND.BORD.!E21</f>
        <v>0</v>
      </c>
      <c r="S23" s="52">
        <f>'BİLGİ GİRİŞİ'!U18</f>
        <v>0</v>
      </c>
      <c r="T23" s="52">
        <f t="shared" si="44"/>
        <v>0</v>
      </c>
      <c r="U23" s="52">
        <f t="shared" si="45"/>
        <v>0</v>
      </c>
      <c r="V23" s="52">
        <f t="shared" si="46"/>
        <v>0</v>
      </c>
      <c r="W23" s="52">
        <f>'BİLGİ GİRİŞİ'!H18</f>
        <v>0</v>
      </c>
      <c r="X23" s="52">
        <f t="shared" si="47"/>
        <v>0</v>
      </c>
      <c r="Y23" s="52">
        <f t="shared" si="48"/>
        <v>0</v>
      </c>
      <c r="Z23" s="52">
        <f t="shared" si="49"/>
        <v>0</v>
      </c>
      <c r="AA23" s="52">
        <f t="shared" si="50"/>
        <v>0</v>
      </c>
      <c r="AB23" s="192">
        <f t="shared" si="51"/>
        <v>0</v>
      </c>
      <c r="AC23" s="52">
        <f t="shared" si="52"/>
        <v>0</v>
      </c>
    </row>
    <row r="24" spans="1:29" ht="14.25" hidden="1" customHeight="1" x14ac:dyDescent="0.2">
      <c r="A24" s="50">
        <f>'BİLGİ GİRİŞİ'!A19</f>
        <v>17</v>
      </c>
      <c r="B24" s="90">
        <f>'BİLGİ GİRİŞİ'!B19</f>
        <v>0</v>
      </c>
      <c r="C24" s="90">
        <f>'BİLGİ GİRİŞİ'!C19</f>
        <v>0</v>
      </c>
      <c r="D24" s="50">
        <f t="shared" si="40"/>
        <v>0</v>
      </c>
      <c r="E24" s="50"/>
      <c r="F24" s="50"/>
      <c r="G24" s="50"/>
      <c r="H24" s="50">
        <f>'BİLGİ GİRİŞİ'!G19</f>
        <v>0</v>
      </c>
      <c r="I24" s="51">
        <f t="shared" si="2"/>
        <v>32.962299999999999</v>
      </c>
      <c r="J24" s="191"/>
      <c r="K24" s="191"/>
      <c r="L24" s="191"/>
      <c r="M24" s="191"/>
      <c r="N24" s="191"/>
      <c r="O24" s="52">
        <f t="shared" si="41"/>
        <v>0</v>
      </c>
      <c r="P24" s="52">
        <f t="shared" si="42"/>
        <v>0</v>
      </c>
      <c r="Q24" s="52">
        <f t="shared" si="43"/>
        <v>0</v>
      </c>
      <c r="R24" s="247">
        <f>ASG.GEÇ.İND.BORD.!E22</f>
        <v>0</v>
      </c>
      <c r="S24" s="52">
        <f>'BİLGİ GİRİŞİ'!U19</f>
        <v>0</v>
      </c>
      <c r="T24" s="52">
        <f t="shared" si="44"/>
        <v>0</v>
      </c>
      <c r="U24" s="52">
        <f t="shared" si="45"/>
        <v>0</v>
      </c>
      <c r="V24" s="52">
        <f t="shared" si="46"/>
        <v>0</v>
      </c>
      <c r="W24" s="52">
        <f>'BİLGİ GİRİŞİ'!H19</f>
        <v>0</v>
      </c>
      <c r="X24" s="52">
        <f t="shared" si="47"/>
        <v>0</v>
      </c>
      <c r="Y24" s="52">
        <f t="shared" si="48"/>
        <v>0</v>
      </c>
      <c r="Z24" s="52">
        <f t="shared" si="49"/>
        <v>0</v>
      </c>
      <c r="AA24" s="52">
        <f t="shared" si="50"/>
        <v>0</v>
      </c>
      <c r="AB24" s="192">
        <f t="shared" si="51"/>
        <v>0</v>
      </c>
      <c r="AC24" s="52">
        <f t="shared" si="52"/>
        <v>0</v>
      </c>
    </row>
    <row r="25" spans="1:29" ht="14.25" hidden="1" customHeight="1" x14ac:dyDescent="0.2">
      <c r="A25" s="50">
        <f>'BİLGİ GİRİŞİ'!A20</f>
        <v>18</v>
      </c>
      <c r="B25" s="90">
        <f>'BİLGİ GİRİŞİ'!B20</f>
        <v>0</v>
      </c>
      <c r="C25" s="90">
        <f>'BİLGİ GİRİŞİ'!C20</f>
        <v>0</v>
      </c>
      <c r="D25" s="50">
        <f t="shared" si="40"/>
        <v>0</v>
      </c>
      <c r="E25" s="50"/>
      <c r="F25" s="50"/>
      <c r="G25" s="50"/>
      <c r="H25" s="50">
        <f>'BİLGİ GİRİŞİ'!G20</f>
        <v>0</v>
      </c>
      <c r="I25" s="51">
        <f t="shared" si="2"/>
        <v>32.962299999999999</v>
      </c>
      <c r="J25" s="191"/>
      <c r="K25" s="191"/>
      <c r="L25" s="191"/>
      <c r="M25" s="191"/>
      <c r="N25" s="191"/>
      <c r="O25" s="52">
        <f t="shared" si="41"/>
        <v>0</v>
      </c>
      <c r="P25" s="52">
        <f t="shared" si="42"/>
        <v>0</v>
      </c>
      <c r="Q25" s="52">
        <f t="shared" si="43"/>
        <v>0</v>
      </c>
      <c r="R25" s="247">
        <f>ASG.GEÇ.İND.BORD.!E23</f>
        <v>0</v>
      </c>
      <c r="S25" s="52">
        <f>'BİLGİ GİRİŞİ'!U20</f>
        <v>0</v>
      </c>
      <c r="T25" s="52">
        <f t="shared" si="44"/>
        <v>0</v>
      </c>
      <c r="U25" s="52">
        <f t="shared" si="45"/>
        <v>0</v>
      </c>
      <c r="V25" s="52">
        <f t="shared" si="46"/>
        <v>0</v>
      </c>
      <c r="W25" s="52">
        <f>'BİLGİ GİRİŞİ'!H20</f>
        <v>0</v>
      </c>
      <c r="X25" s="52">
        <f t="shared" si="47"/>
        <v>0</v>
      </c>
      <c r="Y25" s="52">
        <f t="shared" si="48"/>
        <v>0</v>
      </c>
      <c r="Z25" s="52">
        <f t="shared" si="49"/>
        <v>0</v>
      </c>
      <c r="AA25" s="52">
        <f t="shared" si="50"/>
        <v>0</v>
      </c>
      <c r="AB25" s="192">
        <f t="shared" si="51"/>
        <v>0</v>
      </c>
      <c r="AC25" s="52">
        <f t="shared" si="52"/>
        <v>0</v>
      </c>
    </row>
    <row r="26" spans="1:29" ht="14.25" hidden="1" customHeight="1" x14ac:dyDescent="0.2">
      <c r="A26" s="50">
        <f>'BİLGİ GİRİŞİ'!A21</f>
        <v>19</v>
      </c>
      <c r="B26" s="90">
        <f>'BİLGİ GİRİŞİ'!B21</f>
        <v>0</v>
      </c>
      <c r="C26" s="90">
        <f>'BİLGİ GİRİŞİ'!C21</f>
        <v>0</v>
      </c>
      <c r="D26" s="50">
        <f t="shared" si="40"/>
        <v>0</v>
      </c>
      <c r="E26" s="50"/>
      <c r="F26" s="50"/>
      <c r="G26" s="50"/>
      <c r="H26" s="50">
        <f>'BİLGİ GİRİŞİ'!G21</f>
        <v>0</v>
      </c>
      <c r="I26" s="51">
        <f t="shared" si="2"/>
        <v>32.962299999999999</v>
      </c>
      <c r="J26" s="191"/>
      <c r="K26" s="191"/>
      <c r="L26" s="191"/>
      <c r="M26" s="191"/>
      <c r="N26" s="191"/>
      <c r="O26" s="52">
        <f t="shared" si="41"/>
        <v>0</v>
      </c>
      <c r="P26" s="52">
        <f t="shared" si="42"/>
        <v>0</v>
      </c>
      <c r="Q26" s="52">
        <f t="shared" si="43"/>
        <v>0</v>
      </c>
      <c r="R26" s="247">
        <f>ASG.GEÇ.İND.BORD.!E24</f>
        <v>0</v>
      </c>
      <c r="S26" s="52">
        <f>'BİLGİ GİRİŞİ'!U21</f>
        <v>0</v>
      </c>
      <c r="T26" s="52">
        <f t="shared" si="44"/>
        <v>0</v>
      </c>
      <c r="U26" s="52">
        <f t="shared" si="45"/>
        <v>0</v>
      </c>
      <c r="V26" s="52">
        <f t="shared" si="46"/>
        <v>0</v>
      </c>
      <c r="W26" s="52">
        <f>'BİLGİ GİRİŞİ'!H21</f>
        <v>0</v>
      </c>
      <c r="X26" s="52">
        <f t="shared" si="47"/>
        <v>0</v>
      </c>
      <c r="Y26" s="52">
        <f t="shared" si="48"/>
        <v>0</v>
      </c>
      <c r="Z26" s="52">
        <f t="shared" si="49"/>
        <v>0</v>
      </c>
      <c r="AA26" s="52">
        <f t="shared" si="50"/>
        <v>0</v>
      </c>
      <c r="AB26" s="192">
        <f t="shared" si="51"/>
        <v>0</v>
      </c>
      <c r="AC26" s="52">
        <f t="shared" si="52"/>
        <v>0</v>
      </c>
    </row>
    <row r="27" spans="1:29" ht="14.25" hidden="1" customHeight="1" x14ac:dyDescent="0.2">
      <c r="A27" s="50">
        <f>'BİLGİ GİRİŞİ'!A22</f>
        <v>20</v>
      </c>
      <c r="B27" s="90">
        <f>'BİLGİ GİRİŞİ'!B22</f>
        <v>0</v>
      </c>
      <c r="C27" s="90">
        <f>'BİLGİ GİRİŞİ'!C22</f>
        <v>0</v>
      </c>
      <c r="D27" s="50">
        <f t="shared" si="40"/>
        <v>0</v>
      </c>
      <c r="E27" s="50"/>
      <c r="F27" s="50"/>
      <c r="G27" s="50"/>
      <c r="H27" s="50">
        <f>'BİLGİ GİRİŞİ'!G22</f>
        <v>0</v>
      </c>
      <c r="I27" s="51">
        <f t="shared" si="2"/>
        <v>32.962299999999999</v>
      </c>
      <c r="J27" s="191"/>
      <c r="K27" s="191"/>
      <c r="L27" s="191"/>
      <c r="M27" s="191"/>
      <c r="N27" s="191"/>
      <c r="O27" s="52">
        <f t="shared" si="41"/>
        <v>0</v>
      </c>
      <c r="P27" s="52">
        <f t="shared" si="42"/>
        <v>0</v>
      </c>
      <c r="Q27" s="52">
        <f t="shared" si="43"/>
        <v>0</v>
      </c>
      <c r="R27" s="247">
        <f>ASG.GEÇ.İND.BORD.!E25</f>
        <v>0</v>
      </c>
      <c r="S27" s="52">
        <f>'BİLGİ GİRİŞİ'!U22</f>
        <v>0</v>
      </c>
      <c r="T27" s="52">
        <f t="shared" si="44"/>
        <v>0</v>
      </c>
      <c r="U27" s="52">
        <f t="shared" si="45"/>
        <v>0</v>
      </c>
      <c r="V27" s="52">
        <f t="shared" si="46"/>
        <v>0</v>
      </c>
      <c r="W27" s="52">
        <f>'BİLGİ GİRİŞİ'!H22</f>
        <v>0</v>
      </c>
      <c r="X27" s="52">
        <f t="shared" si="47"/>
        <v>0</v>
      </c>
      <c r="Y27" s="52">
        <f t="shared" si="48"/>
        <v>0</v>
      </c>
      <c r="Z27" s="52">
        <f t="shared" si="49"/>
        <v>0</v>
      </c>
      <c r="AA27" s="52">
        <f t="shared" si="50"/>
        <v>0</v>
      </c>
      <c r="AB27" s="192">
        <f t="shared" si="51"/>
        <v>0</v>
      </c>
      <c r="AC27" s="52">
        <f t="shared" si="52"/>
        <v>0</v>
      </c>
    </row>
    <row r="28" spans="1:29" ht="14.25" hidden="1" customHeight="1" x14ac:dyDescent="0.2">
      <c r="A28" s="50">
        <f>'BİLGİ GİRİŞİ'!A23</f>
        <v>21</v>
      </c>
      <c r="B28" s="90">
        <f>'BİLGİ GİRİŞİ'!B23</f>
        <v>0</v>
      </c>
      <c r="C28" s="90">
        <f>'BİLGİ GİRİŞİ'!C23</f>
        <v>0</v>
      </c>
      <c r="D28" s="50">
        <f t="shared" si="40"/>
        <v>0</v>
      </c>
      <c r="E28" s="50"/>
      <c r="F28" s="50"/>
      <c r="G28" s="50"/>
      <c r="H28" s="50">
        <f>'BİLGİ GİRİŞİ'!G23</f>
        <v>0</v>
      </c>
      <c r="I28" s="51">
        <f t="shared" si="2"/>
        <v>32.962299999999999</v>
      </c>
      <c r="J28" s="191"/>
      <c r="K28" s="191"/>
      <c r="L28" s="191"/>
      <c r="M28" s="191"/>
      <c r="N28" s="191"/>
      <c r="O28" s="52">
        <f t="shared" si="41"/>
        <v>0</v>
      </c>
      <c r="P28" s="52">
        <f t="shared" si="42"/>
        <v>0</v>
      </c>
      <c r="Q28" s="52">
        <f t="shared" si="43"/>
        <v>0</v>
      </c>
      <c r="R28" s="247">
        <f>ASG.GEÇ.İND.BORD.!E26</f>
        <v>0</v>
      </c>
      <c r="S28" s="52">
        <f>'BİLGİ GİRİŞİ'!U23</f>
        <v>0</v>
      </c>
      <c r="T28" s="52">
        <f t="shared" si="44"/>
        <v>0</v>
      </c>
      <c r="U28" s="52">
        <f t="shared" si="45"/>
        <v>0</v>
      </c>
      <c r="V28" s="52">
        <f t="shared" si="46"/>
        <v>0</v>
      </c>
      <c r="W28" s="52">
        <f>'BİLGİ GİRİŞİ'!H23</f>
        <v>0</v>
      </c>
      <c r="X28" s="52">
        <f t="shared" si="47"/>
        <v>0</v>
      </c>
      <c r="Y28" s="52">
        <f t="shared" si="48"/>
        <v>0</v>
      </c>
      <c r="Z28" s="52">
        <f t="shared" si="49"/>
        <v>0</v>
      </c>
      <c r="AA28" s="52">
        <f t="shared" si="50"/>
        <v>0</v>
      </c>
      <c r="AB28" s="192">
        <f t="shared" si="51"/>
        <v>0</v>
      </c>
      <c r="AC28" s="52">
        <f t="shared" si="52"/>
        <v>0</v>
      </c>
    </row>
    <row r="29" spans="1:29" ht="14.25" hidden="1" customHeight="1" x14ac:dyDescent="0.2">
      <c r="A29" s="50">
        <f>'BİLGİ GİRİŞİ'!A24</f>
        <v>22</v>
      </c>
      <c r="B29" s="90">
        <f>'BİLGİ GİRİŞİ'!B24</f>
        <v>0</v>
      </c>
      <c r="C29" s="90">
        <f>'BİLGİ GİRİŞİ'!C24</f>
        <v>0</v>
      </c>
      <c r="D29" s="50">
        <f t="shared" si="40"/>
        <v>0</v>
      </c>
      <c r="E29" s="50"/>
      <c r="F29" s="50"/>
      <c r="G29" s="50"/>
      <c r="H29" s="50">
        <f>'BİLGİ GİRİŞİ'!G24</f>
        <v>0</v>
      </c>
      <c r="I29" s="51">
        <f t="shared" si="2"/>
        <v>32.962299999999999</v>
      </c>
      <c r="J29" s="191"/>
      <c r="K29" s="191"/>
      <c r="L29" s="191"/>
      <c r="M29" s="191"/>
      <c r="N29" s="191"/>
      <c r="O29" s="52">
        <f t="shared" si="41"/>
        <v>0</v>
      </c>
      <c r="P29" s="52">
        <f t="shared" si="42"/>
        <v>0</v>
      </c>
      <c r="Q29" s="52">
        <f t="shared" si="43"/>
        <v>0</v>
      </c>
      <c r="R29" s="247">
        <f>ASG.GEÇ.İND.BORD.!E27</f>
        <v>0</v>
      </c>
      <c r="S29" s="52">
        <f>'BİLGİ GİRİŞİ'!U24</f>
        <v>0</v>
      </c>
      <c r="T29" s="52">
        <f t="shared" si="44"/>
        <v>0</v>
      </c>
      <c r="U29" s="52">
        <f t="shared" si="45"/>
        <v>0</v>
      </c>
      <c r="V29" s="52">
        <f t="shared" si="46"/>
        <v>0</v>
      </c>
      <c r="W29" s="52">
        <f>'BİLGİ GİRİŞİ'!H24</f>
        <v>0</v>
      </c>
      <c r="X29" s="52">
        <f t="shared" si="47"/>
        <v>0</v>
      </c>
      <c r="Y29" s="52">
        <f t="shared" si="48"/>
        <v>0</v>
      </c>
      <c r="Z29" s="52">
        <f t="shared" si="49"/>
        <v>0</v>
      </c>
      <c r="AA29" s="52">
        <f t="shared" si="50"/>
        <v>0</v>
      </c>
      <c r="AB29" s="192">
        <f t="shared" si="51"/>
        <v>0</v>
      </c>
      <c r="AC29" s="52">
        <f t="shared" si="52"/>
        <v>0</v>
      </c>
    </row>
    <row r="30" spans="1:29" ht="14.25" hidden="1" customHeight="1" x14ac:dyDescent="0.2">
      <c r="A30" s="50">
        <f>'BİLGİ GİRİŞİ'!A25</f>
        <v>23</v>
      </c>
      <c r="B30" s="90">
        <f>'BİLGİ GİRİŞİ'!B25</f>
        <v>0</v>
      </c>
      <c r="C30" s="90">
        <f>'BİLGİ GİRİŞİ'!C25</f>
        <v>0</v>
      </c>
      <c r="D30" s="50">
        <f t="shared" si="40"/>
        <v>0</v>
      </c>
      <c r="E30" s="50"/>
      <c r="F30" s="50"/>
      <c r="G30" s="50"/>
      <c r="H30" s="50">
        <f>'BİLGİ GİRİŞİ'!G25</f>
        <v>0</v>
      </c>
      <c r="I30" s="51">
        <f t="shared" si="2"/>
        <v>32.962299999999999</v>
      </c>
      <c r="J30" s="191"/>
      <c r="K30" s="191"/>
      <c r="L30" s="191"/>
      <c r="M30" s="191"/>
      <c r="N30" s="191"/>
      <c r="O30" s="52">
        <f t="shared" si="41"/>
        <v>0</v>
      </c>
      <c r="P30" s="52">
        <f t="shared" si="42"/>
        <v>0</v>
      </c>
      <c r="Q30" s="52">
        <f t="shared" si="43"/>
        <v>0</v>
      </c>
      <c r="R30" s="247">
        <f>ASG.GEÇ.İND.BORD.!E28</f>
        <v>0</v>
      </c>
      <c r="S30" s="52">
        <f>'BİLGİ GİRİŞİ'!U25</f>
        <v>0</v>
      </c>
      <c r="T30" s="52">
        <f t="shared" si="44"/>
        <v>0</v>
      </c>
      <c r="U30" s="52">
        <f t="shared" si="45"/>
        <v>0</v>
      </c>
      <c r="V30" s="52">
        <f t="shared" si="46"/>
        <v>0</v>
      </c>
      <c r="W30" s="52">
        <f>'BİLGİ GİRİŞİ'!H25</f>
        <v>0</v>
      </c>
      <c r="X30" s="52">
        <f t="shared" si="47"/>
        <v>0</v>
      </c>
      <c r="Y30" s="52">
        <f t="shared" si="48"/>
        <v>0</v>
      </c>
      <c r="Z30" s="52">
        <f t="shared" si="49"/>
        <v>0</v>
      </c>
      <c r="AA30" s="52">
        <f t="shared" si="50"/>
        <v>0</v>
      </c>
      <c r="AB30" s="192">
        <f t="shared" si="51"/>
        <v>0</v>
      </c>
      <c r="AC30" s="52">
        <f t="shared" si="52"/>
        <v>0</v>
      </c>
    </row>
    <row r="31" spans="1:29" ht="14.25" hidden="1" customHeight="1" x14ac:dyDescent="0.2">
      <c r="A31" s="50">
        <f>'BİLGİ GİRİŞİ'!A26</f>
        <v>24</v>
      </c>
      <c r="B31" s="90">
        <f>'BİLGİ GİRİŞİ'!B26</f>
        <v>0</v>
      </c>
      <c r="C31" s="90">
        <f>'BİLGİ GİRİŞİ'!C26</f>
        <v>0</v>
      </c>
      <c r="D31" s="50">
        <f t="shared" si="40"/>
        <v>0</v>
      </c>
      <c r="E31" s="50"/>
      <c r="F31" s="50"/>
      <c r="G31" s="50"/>
      <c r="H31" s="50">
        <f>'BİLGİ GİRİŞİ'!G26</f>
        <v>0</v>
      </c>
      <c r="I31" s="51">
        <f t="shared" si="2"/>
        <v>32.962299999999999</v>
      </c>
      <c r="J31" s="191"/>
      <c r="K31" s="191"/>
      <c r="L31" s="191"/>
      <c r="M31" s="191"/>
      <c r="N31" s="191"/>
      <c r="O31" s="52">
        <f t="shared" si="41"/>
        <v>0</v>
      </c>
      <c r="P31" s="52">
        <f t="shared" si="42"/>
        <v>0</v>
      </c>
      <c r="Q31" s="52">
        <f t="shared" si="43"/>
        <v>0</v>
      </c>
      <c r="R31" s="247">
        <f>ASG.GEÇ.İND.BORD.!E29</f>
        <v>0</v>
      </c>
      <c r="S31" s="52">
        <f>'BİLGİ GİRİŞİ'!U26</f>
        <v>0</v>
      </c>
      <c r="T31" s="52">
        <f t="shared" si="44"/>
        <v>0</v>
      </c>
      <c r="U31" s="52">
        <f t="shared" si="45"/>
        <v>0</v>
      </c>
      <c r="V31" s="52">
        <f t="shared" si="46"/>
        <v>0</v>
      </c>
      <c r="W31" s="52">
        <f>'BİLGİ GİRİŞİ'!H26</f>
        <v>0</v>
      </c>
      <c r="X31" s="52">
        <f t="shared" si="47"/>
        <v>0</v>
      </c>
      <c r="Y31" s="52">
        <f t="shared" si="48"/>
        <v>0</v>
      </c>
      <c r="Z31" s="52">
        <f t="shared" si="49"/>
        <v>0</v>
      </c>
      <c r="AA31" s="52">
        <f t="shared" si="50"/>
        <v>0</v>
      </c>
      <c r="AB31" s="192">
        <f t="shared" si="51"/>
        <v>0</v>
      </c>
      <c r="AC31" s="52">
        <f t="shared" si="52"/>
        <v>0</v>
      </c>
    </row>
    <row r="32" spans="1:29" ht="14.25" hidden="1" customHeight="1" x14ac:dyDescent="0.2">
      <c r="A32" s="50">
        <f>'BİLGİ GİRİŞİ'!A27</f>
        <v>25</v>
      </c>
      <c r="B32" s="90">
        <f>'BİLGİ GİRİŞİ'!B27</f>
        <v>0</v>
      </c>
      <c r="C32" s="90">
        <f>'BİLGİ GİRİŞİ'!C27</f>
        <v>0</v>
      </c>
      <c r="D32" s="50">
        <f t="shared" si="40"/>
        <v>0</v>
      </c>
      <c r="E32" s="50"/>
      <c r="F32" s="50"/>
      <c r="G32" s="50"/>
      <c r="H32" s="50">
        <f>'BİLGİ GİRİŞİ'!G27</f>
        <v>0</v>
      </c>
      <c r="I32" s="51">
        <f t="shared" si="2"/>
        <v>32.962299999999999</v>
      </c>
      <c r="J32" s="191"/>
      <c r="K32" s="191"/>
      <c r="L32" s="191"/>
      <c r="M32" s="191"/>
      <c r="N32" s="191"/>
      <c r="O32" s="52">
        <f t="shared" si="41"/>
        <v>0</v>
      </c>
      <c r="P32" s="52">
        <f t="shared" si="42"/>
        <v>0</v>
      </c>
      <c r="Q32" s="52">
        <f t="shared" si="43"/>
        <v>0</v>
      </c>
      <c r="R32" s="247">
        <f>ASG.GEÇ.İND.BORD.!E30</f>
        <v>0</v>
      </c>
      <c r="S32" s="52">
        <f>'BİLGİ GİRİŞİ'!U27</f>
        <v>0</v>
      </c>
      <c r="T32" s="52">
        <f t="shared" si="44"/>
        <v>0</v>
      </c>
      <c r="U32" s="52">
        <f t="shared" si="45"/>
        <v>0</v>
      </c>
      <c r="V32" s="52">
        <f t="shared" si="46"/>
        <v>0</v>
      </c>
      <c r="W32" s="52">
        <f>'BİLGİ GİRİŞİ'!H27</f>
        <v>0</v>
      </c>
      <c r="X32" s="52">
        <f t="shared" si="47"/>
        <v>0</v>
      </c>
      <c r="Y32" s="52">
        <f t="shared" si="48"/>
        <v>0</v>
      </c>
      <c r="Z32" s="52">
        <f t="shared" si="49"/>
        <v>0</v>
      </c>
      <c r="AA32" s="52">
        <f t="shared" si="50"/>
        <v>0</v>
      </c>
      <c r="AB32" s="192">
        <f t="shared" si="51"/>
        <v>0</v>
      </c>
      <c r="AC32" s="52">
        <f t="shared" si="52"/>
        <v>0</v>
      </c>
    </row>
    <row r="33" spans="1:29" ht="14.25" hidden="1" customHeight="1" x14ac:dyDescent="0.2">
      <c r="A33" s="50">
        <f>'BİLGİ GİRİŞİ'!A28</f>
        <v>26</v>
      </c>
      <c r="B33" s="90">
        <f>'BİLGİ GİRİŞİ'!B28</f>
        <v>0</v>
      </c>
      <c r="C33" s="90">
        <f>'BİLGİ GİRİŞİ'!C28</f>
        <v>0</v>
      </c>
      <c r="D33" s="50">
        <f t="shared" si="40"/>
        <v>0</v>
      </c>
      <c r="E33" s="50"/>
      <c r="F33" s="50"/>
      <c r="G33" s="50"/>
      <c r="H33" s="50">
        <f>'BİLGİ GİRİŞİ'!G28</f>
        <v>0</v>
      </c>
      <c r="I33" s="51">
        <f t="shared" si="2"/>
        <v>32.962299999999999</v>
      </c>
      <c r="J33" s="191"/>
      <c r="K33" s="191"/>
      <c r="L33" s="191"/>
      <c r="M33" s="191"/>
      <c r="N33" s="191"/>
      <c r="O33" s="52">
        <f t="shared" si="41"/>
        <v>0</v>
      </c>
      <c r="P33" s="52">
        <f t="shared" si="42"/>
        <v>0</v>
      </c>
      <c r="Q33" s="52">
        <f t="shared" si="43"/>
        <v>0</v>
      </c>
      <c r="R33" s="247">
        <f>ASG.GEÇ.İND.BORD.!E31</f>
        <v>0</v>
      </c>
      <c r="S33" s="52">
        <f>'BİLGİ GİRİŞİ'!U28</f>
        <v>0</v>
      </c>
      <c r="T33" s="52">
        <f t="shared" si="44"/>
        <v>0</v>
      </c>
      <c r="U33" s="52">
        <f t="shared" si="45"/>
        <v>0</v>
      </c>
      <c r="V33" s="52">
        <f t="shared" si="46"/>
        <v>0</v>
      </c>
      <c r="W33" s="52">
        <f>'BİLGİ GİRİŞİ'!H28</f>
        <v>0</v>
      </c>
      <c r="X33" s="52">
        <f t="shared" si="47"/>
        <v>0</v>
      </c>
      <c r="Y33" s="52">
        <f t="shared" si="48"/>
        <v>0</v>
      </c>
      <c r="Z33" s="52">
        <f t="shared" si="49"/>
        <v>0</v>
      </c>
      <c r="AA33" s="52">
        <f t="shared" si="50"/>
        <v>0</v>
      </c>
      <c r="AB33" s="192">
        <f t="shared" si="51"/>
        <v>0</v>
      </c>
      <c r="AC33" s="52">
        <f t="shared" si="52"/>
        <v>0</v>
      </c>
    </row>
    <row r="34" spans="1:29" ht="14.25" hidden="1" customHeight="1" x14ac:dyDescent="0.2">
      <c r="A34" s="50">
        <f>'BİLGİ GİRİŞİ'!A29</f>
        <v>27</v>
      </c>
      <c r="B34" s="90">
        <f>'BİLGİ GİRİŞİ'!B29</f>
        <v>0</v>
      </c>
      <c r="C34" s="90">
        <f>'BİLGİ GİRİŞİ'!C29</f>
        <v>0</v>
      </c>
      <c r="D34" s="50">
        <f t="shared" si="40"/>
        <v>0</v>
      </c>
      <c r="E34" s="50"/>
      <c r="F34" s="50"/>
      <c r="G34" s="50"/>
      <c r="H34" s="50">
        <f>'BİLGİ GİRİŞİ'!G29</f>
        <v>0</v>
      </c>
      <c r="I34" s="51">
        <f t="shared" si="2"/>
        <v>32.962299999999999</v>
      </c>
      <c r="J34" s="191"/>
      <c r="K34" s="191"/>
      <c r="L34" s="191"/>
      <c r="M34" s="191"/>
      <c r="N34" s="191"/>
      <c r="O34" s="52">
        <f t="shared" si="41"/>
        <v>0</v>
      </c>
      <c r="P34" s="52">
        <f t="shared" si="42"/>
        <v>0</v>
      </c>
      <c r="Q34" s="52">
        <f t="shared" si="43"/>
        <v>0</v>
      </c>
      <c r="R34" s="247">
        <f>ASG.GEÇ.İND.BORD.!E32</f>
        <v>0</v>
      </c>
      <c r="S34" s="52">
        <f>'BİLGİ GİRİŞİ'!U29</f>
        <v>0</v>
      </c>
      <c r="T34" s="52">
        <f t="shared" si="44"/>
        <v>0</v>
      </c>
      <c r="U34" s="52">
        <f t="shared" si="45"/>
        <v>0</v>
      </c>
      <c r="V34" s="52">
        <f t="shared" si="46"/>
        <v>0</v>
      </c>
      <c r="W34" s="52">
        <f>'BİLGİ GİRİŞİ'!H29</f>
        <v>0</v>
      </c>
      <c r="X34" s="52">
        <f t="shared" si="47"/>
        <v>0</v>
      </c>
      <c r="Y34" s="52">
        <f t="shared" si="48"/>
        <v>0</v>
      </c>
      <c r="Z34" s="52">
        <f t="shared" si="49"/>
        <v>0</v>
      </c>
      <c r="AA34" s="52">
        <f t="shared" si="50"/>
        <v>0</v>
      </c>
      <c r="AB34" s="192">
        <f t="shared" si="51"/>
        <v>0</v>
      </c>
      <c r="AC34" s="52">
        <f t="shared" si="52"/>
        <v>0</v>
      </c>
    </row>
    <row r="35" spans="1:29" ht="14.25" hidden="1" customHeight="1" x14ac:dyDescent="0.2">
      <c r="A35" s="50">
        <f>'BİLGİ GİRİŞİ'!A30</f>
        <v>28</v>
      </c>
      <c r="B35" s="90">
        <f>'BİLGİ GİRİŞİ'!B30</f>
        <v>0</v>
      </c>
      <c r="C35" s="90">
        <f>'BİLGİ GİRİŞİ'!C30</f>
        <v>0</v>
      </c>
      <c r="D35" s="50">
        <f t="shared" si="40"/>
        <v>0</v>
      </c>
      <c r="E35" s="50"/>
      <c r="F35" s="50"/>
      <c r="G35" s="50"/>
      <c r="H35" s="50">
        <f>'BİLGİ GİRİŞİ'!G30</f>
        <v>0</v>
      </c>
      <c r="I35" s="51">
        <f t="shared" si="2"/>
        <v>32.962299999999999</v>
      </c>
      <c r="J35" s="191"/>
      <c r="K35" s="191"/>
      <c r="L35" s="191"/>
      <c r="M35" s="191"/>
      <c r="N35" s="191"/>
      <c r="O35" s="52">
        <f t="shared" si="41"/>
        <v>0</v>
      </c>
      <c r="P35" s="52">
        <f t="shared" si="42"/>
        <v>0</v>
      </c>
      <c r="Q35" s="52">
        <f t="shared" si="43"/>
        <v>0</v>
      </c>
      <c r="R35" s="247">
        <f>ASG.GEÇ.İND.BORD.!E33</f>
        <v>0</v>
      </c>
      <c r="S35" s="52">
        <f>'BİLGİ GİRİŞİ'!U30</f>
        <v>0</v>
      </c>
      <c r="T35" s="52">
        <f t="shared" si="44"/>
        <v>0</v>
      </c>
      <c r="U35" s="52">
        <f t="shared" si="45"/>
        <v>0</v>
      </c>
      <c r="V35" s="52">
        <f t="shared" si="46"/>
        <v>0</v>
      </c>
      <c r="W35" s="52">
        <f>'BİLGİ GİRİŞİ'!H30</f>
        <v>0</v>
      </c>
      <c r="X35" s="52">
        <f t="shared" si="47"/>
        <v>0</v>
      </c>
      <c r="Y35" s="52">
        <f t="shared" si="48"/>
        <v>0</v>
      </c>
      <c r="Z35" s="52">
        <f t="shared" si="49"/>
        <v>0</v>
      </c>
      <c r="AA35" s="52">
        <f t="shared" si="50"/>
        <v>0</v>
      </c>
      <c r="AB35" s="192">
        <f t="shared" si="51"/>
        <v>0</v>
      </c>
      <c r="AC35" s="52">
        <f t="shared" si="52"/>
        <v>0</v>
      </c>
    </row>
    <row r="36" spans="1:29" ht="14.25" hidden="1" customHeight="1" x14ac:dyDescent="0.2">
      <c r="A36" s="50">
        <f>'BİLGİ GİRİŞİ'!A31</f>
        <v>29</v>
      </c>
      <c r="B36" s="90">
        <f>'BİLGİ GİRİŞİ'!B31</f>
        <v>0</v>
      </c>
      <c r="C36" s="90">
        <f>'BİLGİ GİRİŞİ'!C31</f>
        <v>0</v>
      </c>
      <c r="D36" s="50">
        <f t="shared" si="40"/>
        <v>0</v>
      </c>
      <c r="E36" s="50"/>
      <c r="F36" s="50"/>
      <c r="G36" s="50"/>
      <c r="H36" s="50">
        <f>'BİLGİ GİRİŞİ'!G31</f>
        <v>0</v>
      </c>
      <c r="I36" s="51">
        <f t="shared" si="2"/>
        <v>32.962299999999999</v>
      </c>
      <c r="J36" s="191"/>
      <c r="K36" s="191"/>
      <c r="L36" s="191"/>
      <c r="M36" s="191"/>
      <c r="N36" s="191"/>
      <c r="O36" s="52">
        <f t="shared" si="41"/>
        <v>0</v>
      </c>
      <c r="P36" s="52">
        <f t="shared" si="42"/>
        <v>0</v>
      </c>
      <c r="Q36" s="52">
        <f t="shared" si="43"/>
        <v>0</v>
      </c>
      <c r="R36" s="247">
        <f>ASG.GEÇ.İND.BORD.!E34</f>
        <v>0</v>
      </c>
      <c r="S36" s="52">
        <f>'BİLGİ GİRİŞİ'!U31</f>
        <v>0</v>
      </c>
      <c r="T36" s="52">
        <f t="shared" si="44"/>
        <v>0</v>
      </c>
      <c r="U36" s="52">
        <f t="shared" si="45"/>
        <v>0</v>
      </c>
      <c r="V36" s="52">
        <f t="shared" si="46"/>
        <v>0</v>
      </c>
      <c r="W36" s="52">
        <f>'BİLGİ GİRİŞİ'!H31</f>
        <v>0</v>
      </c>
      <c r="X36" s="52">
        <f t="shared" si="47"/>
        <v>0</v>
      </c>
      <c r="Y36" s="52">
        <f t="shared" si="48"/>
        <v>0</v>
      </c>
      <c r="Z36" s="52">
        <f t="shared" si="49"/>
        <v>0</v>
      </c>
      <c r="AA36" s="52">
        <f t="shared" si="50"/>
        <v>0</v>
      </c>
      <c r="AB36" s="192">
        <f t="shared" si="51"/>
        <v>0</v>
      </c>
      <c r="AC36" s="52">
        <f t="shared" si="52"/>
        <v>0</v>
      </c>
    </row>
    <row r="37" spans="1:29" ht="14.25" hidden="1" customHeight="1" x14ac:dyDescent="0.2">
      <c r="A37" s="50">
        <f>'BİLGİ GİRİŞİ'!A32</f>
        <v>30</v>
      </c>
      <c r="B37" s="90">
        <f>'BİLGİ GİRİŞİ'!B32</f>
        <v>0</v>
      </c>
      <c r="C37" s="90">
        <f>'BİLGİ GİRİŞİ'!C32</f>
        <v>0</v>
      </c>
      <c r="D37" s="50">
        <f t="shared" si="40"/>
        <v>0</v>
      </c>
      <c r="E37" s="50"/>
      <c r="F37" s="50"/>
      <c r="G37" s="50"/>
      <c r="H37" s="50">
        <f>'BİLGİ GİRİŞİ'!G32</f>
        <v>0</v>
      </c>
      <c r="I37" s="51">
        <f t="shared" si="2"/>
        <v>32.962299999999999</v>
      </c>
      <c r="J37" s="191"/>
      <c r="K37" s="191"/>
      <c r="L37" s="191"/>
      <c r="M37" s="191"/>
      <c r="N37" s="191"/>
      <c r="O37" s="52">
        <f t="shared" si="41"/>
        <v>0</v>
      </c>
      <c r="P37" s="52">
        <f t="shared" si="42"/>
        <v>0</v>
      </c>
      <c r="Q37" s="52">
        <f t="shared" si="43"/>
        <v>0</v>
      </c>
      <c r="R37" s="247">
        <f>ASG.GEÇ.İND.BORD.!E35</f>
        <v>0</v>
      </c>
      <c r="S37" s="52">
        <f>'BİLGİ GİRİŞİ'!U32</f>
        <v>0</v>
      </c>
      <c r="T37" s="52">
        <f t="shared" si="44"/>
        <v>0</v>
      </c>
      <c r="U37" s="52">
        <f t="shared" si="45"/>
        <v>0</v>
      </c>
      <c r="V37" s="52">
        <f t="shared" si="46"/>
        <v>0</v>
      </c>
      <c r="W37" s="52">
        <f>'BİLGİ GİRİŞİ'!H32</f>
        <v>0</v>
      </c>
      <c r="X37" s="52">
        <f t="shared" si="47"/>
        <v>0</v>
      </c>
      <c r="Y37" s="52">
        <f t="shared" si="48"/>
        <v>0</v>
      </c>
      <c r="Z37" s="52">
        <f t="shared" si="49"/>
        <v>0</v>
      </c>
      <c r="AA37" s="52">
        <f t="shared" si="50"/>
        <v>0</v>
      </c>
      <c r="AB37" s="192">
        <f t="shared" si="51"/>
        <v>0</v>
      </c>
      <c r="AC37" s="52">
        <f t="shared" si="52"/>
        <v>0</v>
      </c>
    </row>
    <row r="38" spans="1:29" ht="14.25" hidden="1" customHeight="1" x14ac:dyDescent="0.2">
      <c r="A38" s="50">
        <f>'BİLGİ GİRİŞİ'!A33</f>
        <v>31</v>
      </c>
      <c r="B38" s="90">
        <f>'BİLGİ GİRİŞİ'!B33</f>
        <v>0</v>
      </c>
      <c r="C38" s="90">
        <f>'BİLGİ GİRİŞİ'!C33</f>
        <v>0</v>
      </c>
      <c r="D38" s="50">
        <f t="shared" si="40"/>
        <v>0</v>
      </c>
      <c r="E38" s="50"/>
      <c r="F38" s="50"/>
      <c r="G38" s="50"/>
      <c r="H38" s="50">
        <f>'BİLGİ GİRİŞİ'!G33</f>
        <v>0</v>
      </c>
      <c r="I38" s="51">
        <f t="shared" si="2"/>
        <v>32.962299999999999</v>
      </c>
      <c r="J38" s="191"/>
      <c r="K38" s="191"/>
      <c r="L38" s="191"/>
      <c r="M38" s="191"/>
      <c r="N38" s="191"/>
      <c r="O38" s="52">
        <f t="shared" si="41"/>
        <v>0</v>
      </c>
      <c r="P38" s="52">
        <f t="shared" si="42"/>
        <v>0</v>
      </c>
      <c r="Q38" s="52">
        <f t="shared" si="43"/>
        <v>0</v>
      </c>
      <c r="R38" s="247">
        <f>ASG.GEÇ.İND.BORD.!E36</f>
        <v>0</v>
      </c>
      <c r="S38" s="52">
        <f>'BİLGİ GİRİŞİ'!U33</f>
        <v>0</v>
      </c>
      <c r="T38" s="52">
        <f t="shared" si="44"/>
        <v>0</v>
      </c>
      <c r="U38" s="52">
        <f t="shared" si="45"/>
        <v>0</v>
      </c>
      <c r="V38" s="52">
        <f t="shared" si="46"/>
        <v>0</v>
      </c>
      <c r="W38" s="52">
        <f>'BİLGİ GİRİŞİ'!H33</f>
        <v>0</v>
      </c>
      <c r="X38" s="52">
        <f t="shared" si="47"/>
        <v>0</v>
      </c>
      <c r="Y38" s="52">
        <f t="shared" si="48"/>
        <v>0</v>
      </c>
      <c r="Z38" s="52">
        <f t="shared" si="49"/>
        <v>0</v>
      </c>
      <c r="AA38" s="52">
        <f t="shared" si="50"/>
        <v>0</v>
      </c>
      <c r="AB38" s="192">
        <f t="shared" si="51"/>
        <v>0</v>
      </c>
      <c r="AC38" s="52">
        <f t="shared" si="52"/>
        <v>0</v>
      </c>
    </row>
    <row r="39" spans="1:29" ht="14.25" hidden="1" customHeight="1" x14ac:dyDescent="0.2">
      <c r="A39" s="50">
        <f>'BİLGİ GİRİŞİ'!A34</f>
        <v>32</v>
      </c>
      <c r="B39" s="90">
        <f>'BİLGİ GİRİŞİ'!B34</f>
        <v>0</v>
      </c>
      <c r="C39" s="90">
        <f>'BİLGİ GİRİŞİ'!C34</f>
        <v>0</v>
      </c>
      <c r="D39" s="50">
        <f t="shared" si="40"/>
        <v>0</v>
      </c>
      <c r="E39" s="50"/>
      <c r="F39" s="50"/>
      <c r="G39" s="50"/>
      <c r="H39" s="50">
        <f>'BİLGİ GİRİŞİ'!G34</f>
        <v>0</v>
      </c>
      <c r="I39" s="51">
        <f t="shared" si="2"/>
        <v>32.962299999999999</v>
      </c>
      <c r="J39" s="191"/>
      <c r="K39" s="191"/>
      <c r="L39" s="191"/>
      <c r="M39" s="191"/>
      <c r="N39" s="191"/>
      <c r="O39" s="52">
        <f t="shared" si="41"/>
        <v>0</v>
      </c>
      <c r="P39" s="52">
        <f t="shared" si="42"/>
        <v>0</v>
      </c>
      <c r="Q39" s="52">
        <f t="shared" si="43"/>
        <v>0</v>
      </c>
      <c r="R39" s="247">
        <f>ASG.GEÇ.İND.BORD.!E37</f>
        <v>0</v>
      </c>
      <c r="S39" s="52">
        <f>'BİLGİ GİRİŞİ'!U34</f>
        <v>0</v>
      </c>
      <c r="T39" s="52">
        <f t="shared" si="44"/>
        <v>0</v>
      </c>
      <c r="U39" s="52">
        <f t="shared" si="45"/>
        <v>0</v>
      </c>
      <c r="V39" s="52">
        <f t="shared" si="46"/>
        <v>0</v>
      </c>
      <c r="W39" s="52">
        <f>'BİLGİ GİRİŞİ'!H34</f>
        <v>0</v>
      </c>
      <c r="X39" s="52">
        <f t="shared" si="47"/>
        <v>0</v>
      </c>
      <c r="Y39" s="52">
        <f t="shared" si="48"/>
        <v>0</v>
      </c>
      <c r="Z39" s="52">
        <f t="shared" si="49"/>
        <v>0</v>
      </c>
      <c r="AA39" s="52">
        <f t="shared" si="50"/>
        <v>0</v>
      </c>
      <c r="AB39" s="192">
        <f t="shared" si="51"/>
        <v>0</v>
      </c>
      <c r="AC39" s="52">
        <f t="shared" si="52"/>
        <v>0</v>
      </c>
    </row>
    <row r="40" spans="1:29" ht="14.25" hidden="1" customHeight="1" x14ac:dyDescent="0.2">
      <c r="A40" s="50">
        <f>'BİLGİ GİRİŞİ'!A35</f>
        <v>33</v>
      </c>
      <c r="B40" s="90">
        <f>'BİLGİ GİRİŞİ'!B35</f>
        <v>0</v>
      </c>
      <c r="C40" s="90">
        <f>'BİLGİ GİRİŞİ'!C35</f>
        <v>0</v>
      </c>
      <c r="D40" s="50">
        <f t="shared" si="40"/>
        <v>0</v>
      </c>
      <c r="E40" s="50"/>
      <c r="F40" s="50"/>
      <c r="G40" s="50"/>
      <c r="H40" s="50">
        <f>'BİLGİ GİRİŞİ'!G35</f>
        <v>0</v>
      </c>
      <c r="I40" s="51">
        <f t="shared" si="2"/>
        <v>32.962299999999999</v>
      </c>
      <c r="J40" s="191"/>
      <c r="K40" s="191"/>
      <c r="L40" s="191"/>
      <c r="M40" s="191"/>
      <c r="N40" s="191"/>
      <c r="O40" s="52">
        <f t="shared" si="41"/>
        <v>0</v>
      </c>
      <c r="P40" s="52">
        <f t="shared" si="42"/>
        <v>0</v>
      </c>
      <c r="Q40" s="52">
        <f t="shared" si="43"/>
        <v>0</v>
      </c>
      <c r="R40" s="247">
        <f>ASG.GEÇ.İND.BORD.!E38</f>
        <v>0</v>
      </c>
      <c r="S40" s="52">
        <f>'BİLGİ GİRİŞİ'!U35</f>
        <v>0</v>
      </c>
      <c r="T40" s="52">
        <f t="shared" si="44"/>
        <v>0</v>
      </c>
      <c r="U40" s="52">
        <f t="shared" si="45"/>
        <v>0</v>
      </c>
      <c r="V40" s="52">
        <f t="shared" si="46"/>
        <v>0</v>
      </c>
      <c r="W40" s="52">
        <f>'BİLGİ GİRİŞİ'!H35</f>
        <v>0</v>
      </c>
      <c r="X40" s="52">
        <f t="shared" si="47"/>
        <v>0</v>
      </c>
      <c r="Y40" s="52">
        <f t="shared" si="48"/>
        <v>0</v>
      </c>
      <c r="Z40" s="52">
        <f t="shared" si="49"/>
        <v>0</v>
      </c>
      <c r="AA40" s="52">
        <f t="shared" si="50"/>
        <v>0</v>
      </c>
      <c r="AB40" s="192">
        <f t="shared" si="51"/>
        <v>0</v>
      </c>
      <c r="AC40" s="52">
        <f t="shared" si="52"/>
        <v>0</v>
      </c>
    </row>
    <row r="41" spans="1:29" ht="14.25" hidden="1" customHeight="1" x14ac:dyDescent="0.2">
      <c r="A41" s="50">
        <f>'BİLGİ GİRİŞİ'!A36</f>
        <v>34</v>
      </c>
      <c r="B41" s="90">
        <f>'BİLGİ GİRİŞİ'!B36</f>
        <v>0</v>
      </c>
      <c r="C41" s="90">
        <f>'BİLGİ GİRİŞİ'!C36</f>
        <v>0</v>
      </c>
      <c r="D41" s="50">
        <f t="shared" si="40"/>
        <v>0</v>
      </c>
      <c r="E41" s="50"/>
      <c r="F41" s="50"/>
      <c r="G41" s="50"/>
      <c r="H41" s="50">
        <f>'BİLGİ GİRİŞİ'!G36</f>
        <v>0</v>
      </c>
      <c r="I41" s="51">
        <f t="shared" si="2"/>
        <v>32.962299999999999</v>
      </c>
      <c r="J41" s="191"/>
      <c r="K41" s="191"/>
      <c r="L41" s="191"/>
      <c r="M41" s="191"/>
      <c r="N41" s="191"/>
      <c r="O41" s="52">
        <f t="shared" si="41"/>
        <v>0</v>
      </c>
      <c r="P41" s="52">
        <f t="shared" si="42"/>
        <v>0</v>
      </c>
      <c r="Q41" s="52">
        <f t="shared" si="43"/>
        <v>0</v>
      </c>
      <c r="R41" s="247">
        <f>ASG.GEÇ.İND.BORD.!E39</f>
        <v>0</v>
      </c>
      <c r="S41" s="52">
        <f>'BİLGİ GİRİŞİ'!U36</f>
        <v>0</v>
      </c>
      <c r="T41" s="52">
        <f t="shared" si="44"/>
        <v>0</v>
      </c>
      <c r="U41" s="52">
        <f t="shared" si="45"/>
        <v>0</v>
      </c>
      <c r="V41" s="52">
        <f t="shared" si="46"/>
        <v>0</v>
      </c>
      <c r="W41" s="52">
        <f>'BİLGİ GİRİŞİ'!H36</f>
        <v>0</v>
      </c>
      <c r="X41" s="52">
        <f t="shared" si="47"/>
        <v>0</v>
      </c>
      <c r="Y41" s="52">
        <f t="shared" si="48"/>
        <v>0</v>
      </c>
      <c r="Z41" s="52">
        <f t="shared" si="49"/>
        <v>0</v>
      </c>
      <c r="AA41" s="52">
        <f t="shared" si="50"/>
        <v>0</v>
      </c>
      <c r="AB41" s="192">
        <f t="shared" si="51"/>
        <v>0</v>
      </c>
      <c r="AC41" s="52">
        <f t="shared" si="52"/>
        <v>0</v>
      </c>
    </row>
    <row r="42" spans="1:29" ht="14.25" hidden="1" customHeight="1" x14ac:dyDescent="0.2">
      <c r="A42" s="50">
        <f>'BİLGİ GİRİŞİ'!A37</f>
        <v>35</v>
      </c>
      <c r="B42" s="90">
        <f>'BİLGİ GİRİŞİ'!B37</f>
        <v>0</v>
      </c>
      <c r="C42" s="90">
        <f>'BİLGİ GİRİŞİ'!C37</f>
        <v>0</v>
      </c>
      <c r="D42" s="50">
        <f t="shared" si="40"/>
        <v>0</v>
      </c>
      <c r="E42" s="50"/>
      <c r="F42" s="50"/>
      <c r="G42" s="50"/>
      <c r="H42" s="50">
        <f>'BİLGİ GİRİŞİ'!G37</f>
        <v>0</v>
      </c>
      <c r="I42" s="51">
        <f t="shared" si="2"/>
        <v>32.962299999999999</v>
      </c>
      <c r="J42" s="191"/>
      <c r="K42" s="191"/>
      <c r="L42" s="191"/>
      <c r="M42" s="191"/>
      <c r="N42" s="191"/>
      <c r="O42" s="52">
        <f t="shared" si="41"/>
        <v>0</v>
      </c>
      <c r="P42" s="52">
        <f t="shared" si="42"/>
        <v>0</v>
      </c>
      <c r="Q42" s="52">
        <f t="shared" si="43"/>
        <v>0</v>
      </c>
      <c r="R42" s="247">
        <f>ASG.GEÇ.İND.BORD.!E40</f>
        <v>0</v>
      </c>
      <c r="S42" s="52">
        <f>'BİLGİ GİRİŞİ'!U37</f>
        <v>0</v>
      </c>
      <c r="T42" s="52">
        <f t="shared" si="44"/>
        <v>0</v>
      </c>
      <c r="U42" s="52">
        <f t="shared" si="45"/>
        <v>0</v>
      </c>
      <c r="V42" s="52">
        <f t="shared" si="46"/>
        <v>0</v>
      </c>
      <c r="W42" s="52">
        <f>'BİLGİ GİRİŞİ'!H37</f>
        <v>0</v>
      </c>
      <c r="X42" s="52">
        <f t="shared" si="47"/>
        <v>0</v>
      </c>
      <c r="Y42" s="52">
        <f t="shared" si="48"/>
        <v>0</v>
      </c>
      <c r="Z42" s="52">
        <f t="shared" si="49"/>
        <v>0</v>
      </c>
      <c r="AA42" s="52">
        <f t="shared" si="50"/>
        <v>0</v>
      </c>
      <c r="AB42" s="192">
        <f t="shared" si="51"/>
        <v>0</v>
      </c>
      <c r="AC42" s="52">
        <f t="shared" si="52"/>
        <v>0</v>
      </c>
    </row>
    <row r="43" spans="1:29" ht="14.25" hidden="1" customHeight="1" x14ac:dyDescent="0.2">
      <c r="A43" s="50">
        <f>'BİLGİ GİRİŞİ'!A38</f>
        <v>36</v>
      </c>
      <c r="B43" s="90">
        <f>'BİLGİ GİRİŞİ'!B38</f>
        <v>0</v>
      </c>
      <c r="C43" s="90">
        <f>'BİLGİ GİRİŞİ'!C38</f>
        <v>0</v>
      </c>
      <c r="D43" s="50">
        <f t="shared" si="40"/>
        <v>0</v>
      </c>
      <c r="E43" s="50"/>
      <c r="F43" s="50"/>
      <c r="G43" s="50"/>
      <c r="H43" s="50">
        <f>'BİLGİ GİRİŞİ'!G38</f>
        <v>0</v>
      </c>
      <c r="I43" s="51">
        <f t="shared" si="2"/>
        <v>32.962299999999999</v>
      </c>
      <c r="J43" s="191"/>
      <c r="K43" s="191"/>
      <c r="L43" s="191"/>
      <c r="M43" s="191"/>
      <c r="N43" s="191"/>
      <c r="O43" s="52">
        <f t="shared" si="41"/>
        <v>0</v>
      </c>
      <c r="P43" s="52">
        <f t="shared" si="42"/>
        <v>0</v>
      </c>
      <c r="Q43" s="52">
        <f t="shared" si="43"/>
        <v>0</v>
      </c>
      <c r="R43" s="247">
        <f>ASG.GEÇ.İND.BORD.!E41</f>
        <v>0</v>
      </c>
      <c r="S43" s="52">
        <f>'BİLGİ GİRİŞİ'!U38</f>
        <v>0</v>
      </c>
      <c r="T43" s="52">
        <f t="shared" si="44"/>
        <v>0</v>
      </c>
      <c r="U43" s="52">
        <f t="shared" si="45"/>
        <v>0</v>
      </c>
      <c r="V43" s="52">
        <f t="shared" si="46"/>
        <v>0</v>
      </c>
      <c r="W43" s="52">
        <f>'BİLGİ GİRİŞİ'!H38</f>
        <v>0</v>
      </c>
      <c r="X43" s="52">
        <f t="shared" si="47"/>
        <v>0</v>
      </c>
      <c r="Y43" s="52">
        <f t="shared" si="48"/>
        <v>0</v>
      </c>
      <c r="Z43" s="52">
        <f t="shared" si="49"/>
        <v>0</v>
      </c>
      <c r="AA43" s="52">
        <f t="shared" si="50"/>
        <v>0</v>
      </c>
      <c r="AB43" s="192">
        <f t="shared" si="51"/>
        <v>0</v>
      </c>
      <c r="AC43" s="52">
        <f t="shared" si="52"/>
        <v>0</v>
      </c>
    </row>
    <row r="44" spans="1:29" ht="14.25" hidden="1" customHeight="1" x14ac:dyDescent="0.2">
      <c r="A44" s="50">
        <f>'BİLGİ GİRİŞİ'!A39</f>
        <v>37</v>
      </c>
      <c r="B44" s="90">
        <f>'BİLGİ GİRİŞİ'!B39</f>
        <v>0</v>
      </c>
      <c r="C44" s="90">
        <f>'BİLGİ GİRİŞİ'!C39</f>
        <v>0</v>
      </c>
      <c r="D44" s="50">
        <f t="shared" si="40"/>
        <v>0</v>
      </c>
      <c r="E44" s="50"/>
      <c r="F44" s="50"/>
      <c r="G44" s="50"/>
      <c r="H44" s="50">
        <f>'BİLGİ GİRİŞİ'!G39</f>
        <v>0</v>
      </c>
      <c r="I44" s="51">
        <f t="shared" si="2"/>
        <v>32.962299999999999</v>
      </c>
      <c r="J44" s="191"/>
      <c r="K44" s="191"/>
      <c r="L44" s="191"/>
      <c r="M44" s="191"/>
      <c r="N44" s="191"/>
      <c r="O44" s="52">
        <f t="shared" si="41"/>
        <v>0</v>
      </c>
      <c r="P44" s="52">
        <f t="shared" si="42"/>
        <v>0</v>
      </c>
      <c r="Q44" s="52">
        <f t="shared" si="43"/>
        <v>0</v>
      </c>
      <c r="R44" s="247">
        <f>ASG.GEÇ.İND.BORD.!E42</f>
        <v>0</v>
      </c>
      <c r="S44" s="52">
        <f>'BİLGİ GİRİŞİ'!U39</f>
        <v>0</v>
      </c>
      <c r="T44" s="52">
        <f t="shared" si="44"/>
        <v>0</v>
      </c>
      <c r="U44" s="52">
        <f t="shared" si="45"/>
        <v>0</v>
      </c>
      <c r="V44" s="52">
        <f t="shared" si="46"/>
        <v>0</v>
      </c>
      <c r="W44" s="52">
        <f>'BİLGİ GİRİŞİ'!H39</f>
        <v>0</v>
      </c>
      <c r="X44" s="52">
        <f t="shared" si="47"/>
        <v>0</v>
      </c>
      <c r="Y44" s="52">
        <f t="shared" si="48"/>
        <v>0</v>
      </c>
      <c r="Z44" s="52">
        <f t="shared" si="49"/>
        <v>0</v>
      </c>
      <c r="AA44" s="52">
        <f t="shared" si="50"/>
        <v>0</v>
      </c>
      <c r="AB44" s="192">
        <f t="shared" si="51"/>
        <v>0</v>
      </c>
      <c r="AC44" s="52">
        <f t="shared" si="52"/>
        <v>0</v>
      </c>
    </row>
    <row r="45" spans="1:29" ht="14.25" hidden="1" customHeight="1" x14ac:dyDescent="0.2">
      <c r="A45" s="50">
        <f>'BİLGİ GİRİŞİ'!A40</f>
        <v>38</v>
      </c>
      <c r="B45" s="90">
        <f>'BİLGİ GİRİŞİ'!B40</f>
        <v>0</v>
      </c>
      <c r="C45" s="90">
        <f>'BİLGİ GİRİŞİ'!C40</f>
        <v>0</v>
      </c>
      <c r="D45" s="50">
        <f t="shared" si="40"/>
        <v>0</v>
      </c>
      <c r="E45" s="50"/>
      <c r="F45" s="50"/>
      <c r="G45" s="50"/>
      <c r="H45" s="50">
        <f>'BİLGİ GİRİŞİ'!G40</f>
        <v>0</v>
      </c>
      <c r="I45" s="51">
        <f t="shared" si="2"/>
        <v>32.962299999999999</v>
      </c>
      <c r="J45" s="191"/>
      <c r="K45" s="191"/>
      <c r="L45" s="191"/>
      <c r="M45" s="191"/>
      <c r="N45" s="191"/>
      <c r="O45" s="52">
        <f t="shared" si="41"/>
        <v>0</v>
      </c>
      <c r="P45" s="52">
        <f t="shared" si="42"/>
        <v>0</v>
      </c>
      <c r="Q45" s="52">
        <f t="shared" si="43"/>
        <v>0</v>
      </c>
      <c r="R45" s="247">
        <f>ASG.GEÇ.İND.BORD.!E43</f>
        <v>0</v>
      </c>
      <c r="S45" s="52">
        <f>'BİLGİ GİRİŞİ'!U40</f>
        <v>0</v>
      </c>
      <c r="T45" s="52">
        <f t="shared" si="44"/>
        <v>0</v>
      </c>
      <c r="U45" s="52">
        <f t="shared" si="45"/>
        <v>0</v>
      </c>
      <c r="V45" s="52">
        <f t="shared" si="46"/>
        <v>0</v>
      </c>
      <c r="W45" s="52">
        <f>'BİLGİ GİRİŞİ'!H40</f>
        <v>0</v>
      </c>
      <c r="X45" s="52">
        <f t="shared" si="47"/>
        <v>0</v>
      </c>
      <c r="Y45" s="52">
        <f t="shared" si="48"/>
        <v>0</v>
      </c>
      <c r="Z45" s="52">
        <f t="shared" si="49"/>
        <v>0</v>
      </c>
      <c r="AA45" s="52">
        <f t="shared" si="50"/>
        <v>0</v>
      </c>
      <c r="AB45" s="192">
        <f t="shared" si="51"/>
        <v>0</v>
      </c>
      <c r="AC45" s="52">
        <f t="shared" si="52"/>
        <v>0</v>
      </c>
    </row>
    <row r="46" spans="1:29" ht="14.25" hidden="1" customHeight="1" x14ac:dyDescent="0.2">
      <c r="A46" s="50">
        <f>'BİLGİ GİRİŞİ'!A41</f>
        <v>39</v>
      </c>
      <c r="B46" s="90">
        <f>'BİLGİ GİRİŞİ'!B41</f>
        <v>0</v>
      </c>
      <c r="C46" s="90">
        <f>'BİLGİ GİRİŞİ'!C41</f>
        <v>0</v>
      </c>
      <c r="D46" s="50">
        <f t="shared" si="40"/>
        <v>0</v>
      </c>
      <c r="E46" s="50"/>
      <c r="F46" s="50"/>
      <c r="G46" s="50"/>
      <c r="H46" s="50">
        <f>'BİLGİ GİRİŞİ'!G41</f>
        <v>0</v>
      </c>
      <c r="I46" s="51">
        <f t="shared" si="2"/>
        <v>32.962299999999999</v>
      </c>
      <c r="J46" s="191"/>
      <c r="K46" s="191"/>
      <c r="L46" s="191"/>
      <c r="M46" s="191"/>
      <c r="N46" s="191"/>
      <c r="O46" s="52">
        <f t="shared" si="41"/>
        <v>0</v>
      </c>
      <c r="P46" s="52">
        <f t="shared" si="42"/>
        <v>0</v>
      </c>
      <c r="Q46" s="52">
        <f t="shared" si="43"/>
        <v>0</v>
      </c>
      <c r="R46" s="247">
        <f>ASG.GEÇ.İND.BORD.!E44</f>
        <v>0</v>
      </c>
      <c r="S46" s="52">
        <f>'BİLGİ GİRİŞİ'!U41</f>
        <v>0</v>
      </c>
      <c r="T46" s="52">
        <f t="shared" si="44"/>
        <v>0</v>
      </c>
      <c r="U46" s="52">
        <f t="shared" si="45"/>
        <v>0</v>
      </c>
      <c r="V46" s="52">
        <f t="shared" si="46"/>
        <v>0</v>
      </c>
      <c r="W46" s="52">
        <f>'BİLGİ GİRİŞİ'!H41</f>
        <v>0</v>
      </c>
      <c r="X46" s="52">
        <f t="shared" si="47"/>
        <v>0</v>
      </c>
      <c r="Y46" s="52">
        <f t="shared" si="48"/>
        <v>0</v>
      </c>
      <c r="Z46" s="52">
        <f t="shared" si="49"/>
        <v>0</v>
      </c>
      <c r="AA46" s="52">
        <f t="shared" si="50"/>
        <v>0</v>
      </c>
      <c r="AB46" s="192">
        <f t="shared" si="51"/>
        <v>0</v>
      </c>
      <c r="AC46" s="52">
        <f t="shared" si="52"/>
        <v>0</v>
      </c>
    </row>
    <row r="47" spans="1:29" ht="14.25" hidden="1" customHeight="1" x14ac:dyDescent="0.2">
      <c r="A47" s="50">
        <f>'BİLGİ GİRİŞİ'!A42</f>
        <v>40</v>
      </c>
      <c r="B47" s="90">
        <f>'BİLGİ GİRİŞİ'!B42</f>
        <v>0</v>
      </c>
      <c r="C47" s="90">
        <f>'BİLGİ GİRİŞİ'!C42</f>
        <v>0</v>
      </c>
      <c r="D47" s="50">
        <f t="shared" si="40"/>
        <v>0</v>
      </c>
      <c r="E47" s="50"/>
      <c r="F47" s="50"/>
      <c r="G47" s="50"/>
      <c r="H47" s="50">
        <f>'BİLGİ GİRİŞİ'!G42</f>
        <v>0</v>
      </c>
      <c r="I47" s="51">
        <f t="shared" si="2"/>
        <v>32.962299999999999</v>
      </c>
      <c r="J47" s="191"/>
      <c r="K47" s="191"/>
      <c r="L47" s="191"/>
      <c r="M47" s="191"/>
      <c r="N47" s="191"/>
      <c r="O47" s="52">
        <f t="shared" si="41"/>
        <v>0</v>
      </c>
      <c r="P47" s="52">
        <f t="shared" si="42"/>
        <v>0</v>
      </c>
      <c r="Q47" s="52">
        <f t="shared" si="43"/>
        <v>0</v>
      </c>
      <c r="R47" s="247">
        <f>ASG.GEÇ.İND.BORD.!E45</f>
        <v>0</v>
      </c>
      <c r="S47" s="52">
        <f>'BİLGİ GİRİŞİ'!U42</f>
        <v>0</v>
      </c>
      <c r="T47" s="52">
        <f t="shared" si="44"/>
        <v>0</v>
      </c>
      <c r="U47" s="52">
        <f t="shared" si="45"/>
        <v>0</v>
      </c>
      <c r="V47" s="52">
        <f t="shared" si="46"/>
        <v>0</v>
      </c>
      <c r="W47" s="52">
        <f>'BİLGİ GİRİŞİ'!H42</f>
        <v>0</v>
      </c>
      <c r="X47" s="52">
        <f t="shared" si="47"/>
        <v>0</v>
      </c>
      <c r="Y47" s="52">
        <f t="shared" si="48"/>
        <v>0</v>
      </c>
      <c r="Z47" s="52">
        <f t="shared" si="49"/>
        <v>0</v>
      </c>
      <c r="AA47" s="52">
        <f t="shared" si="50"/>
        <v>0</v>
      </c>
      <c r="AB47" s="192">
        <f t="shared" si="51"/>
        <v>0</v>
      </c>
      <c r="AC47" s="52">
        <f t="shared" si="52"/>
        <v>0</v>
      </c>
    </row>
    <row r="48" spans="1:29" ht="14.25" hidden="1" customHeight="1" x14ac:dyDescent="0.2">
      <c r="A48" s="50">
        <f>'BİLGİ GİRİŞİ'!A43</f>
        <v>41</v>
      </c>
      <c r="B48" s="90">
        <f>'BİLGİ GİRİŞİ'!B43</f>
        <v>0</v>
      </c>
      <c r="C48" s="90">
        <f>'BİLGİ GİRİŞİ'!C43</f>
        <v>0</v>
      </c>
      <c r="D48" s="50">
        <f t="shared" si="40"/>
        <v>0</v>
      </c>
      <c r="E48" s="50"/>
      <c r="F48" s="50"/>
      <c r="G48" s="50"/>
      <c r="H48" s="50">
        <f>'BİLGİ GİRİŞİ'!G43</f>
        <v>0</v>
      </c>
      <c r="I48" s="51">
        <f t="shared" si="2"/>
        <v>32.962299999999999</v>
      </c>
      <c r="J48" s="191"/>
      <c r="K48" s="191"/>
      <c r="L48" s="191"/>
      <c r="M48" s="191"/>
      <c r="N48" s="191"/>
      <c r="O48" s="52">
        <f t="shared" si="41"/>
        <v>0</v>
      </c>
      <c r="P48" s="52">
        <f t="shared" si="42"/>
        <v>0</v>
      </c>
      <c r="Q48" s="52">
        <f t="shared" si="43"/>
        <v>0</v>
      </c>
      <c r="R48" s="247">
        <f>ASG.GEÇ.İND.BORD.!E46</f>
        <v>0</v>
      </c>
      <c r="S48" s="52">
        <f>'BİLGİ GİRİŞİ'!U43</f>
        <v>0</v>
      </c>
      <c r="T48" s="52">
        <f t="shared" si="44"/>
        <v>0</v>
      </c>
      <c r="U48" s="52">
        <f t="shared" si="45"/>
        <v>0</v>
      </c>
      <c r="V48" s="52">
        <f t="shared" si="46"/>
        <v>0</v>
      </c>
      <c r="W48" s="52">
        <f>'BİLGİ GİRİŞİ'!H43</f>
        <v>0</v>
      </c>
      <c r="X48" s="52">
        <f t="shared" si="47"/>
        <v>0</v>
      </c>
      <c r="Y48" s="52">
        <f t="shared" si="48"/>
        <v>0</v>
      </c>
      <c r="Z48" s="52">
        <f t="shared" si="49"/>
        <v>0</v>
      </c>
      <c r="AA48" s="52">
        <f t="shared" si="50"/>
        <v>0</v>
      </c>
      <c r="AB48" s="192">
        <f t="shared" si="51"/>
        <v>0</v>
      </c>
      <c r="AC48" s="52">
        <f t="shared" si="52"/>
        <v>0</v>
      </c>
    </row>
    <row r="49" spans="1:29" ht="14.25" hidden="1" customHeight="1" x14ac:dyDescent="0.2">
      <c r="A49" s="50">
        <f>'BİLGİ GİRİŞİ'!A44</f>
        <v>42</v>
      </c>
      <c r="B49" s="90">
        <f>'BİLGİ GİRİŞİ'!B44</f>
        <v>0</v>
      </c>
      <c r="C49" s="90">
        <f>'BİLGİ GİRİŞİ'!C44</f>
        <v>0</v>
      </c>
      <c r="D49" s="50">
        <f t="shared" si="40"/>
        <v>0</v>
      </c>
      <c r="E49" s="50"/>
      <c r="F49" s="50"/>
      <c r="G49" s="50"/>
      <c r="H49" s="50">
        <f>'BİLGİ GİRİŞİ'!G44</f>
        <v>0</v>
      </c>
      <c r="I49" s="51">
        <f t="shared" si="2"/>
        <v>32.962299999999999</v>
      </c>
      <c r="J49" s="191"/>
      <c r="K49" s="191"/>
      <c r="L49" s="191"/>
      <c r="M49" s="191"/>
      <c r="N49" s="191"/>
      <c r="O49" s="52">
        <f t="shared" si="41"/>
        <v>0</v>
      </c>
      <c r="P49" s="52">
        <f t="shared" si="42"/>
        <v>0</v>
      </c>
      <c r="Q49" s="52">
        <f t="shared" si="43"/>
        <v>0</v>
      </c>
      <c r="R49" s="247">
        <f>ASG.GEÇ.İND.BORD.!E47</f>
        <v>0</v>
      </c>
      <c r="S49" s="52">
        <f>'BİLGİ GİRİŞİ'!U44</f>
        <v>0</v>
      </c>
      <c r="T49" s="52">
        <f t="shared" si="44"/>
        <v>0</v>
      </c>
      <c r="U49" s="52">
        <f t="shared" si="45"/>
        <v>0</v>
      </c>
      <c r="V49" s="52">
        <f t="shared" si="46"/>
        <v>0</v>
      </c>
      <c r="W49" s="52">
        <f>'BİLGİ GİRİŞİ'!H44</f>
        <v>0</v>
      </c>
      <c r="X49" s="52">
        <f t="shared" si="47"/>
        <v>0</v>
      </c>
      <c r="Y49" s="52">
        <f t="shared" si="48"/>
        <v>0</v>
      </c>
      <c r="Z49" s="52">
        <f t="shared" si="49"/>
        <v>0</v>
      </c>
      <c r="AA49" s="52">
        <f t="shared" si="50"/>
        <v>0</v>
      </c>
      <c r="AB49" s="192">
        <f t="shared" si="51"/>
        <v>0</v>
      </c>
      <c r="AC49" s="52">
        <f t="shared" si="52"/>
        <v>0</v>
      </c>
    </row>
    <row r="50" spans="1:29" ht="14.25" hidden="1" customHeight="1" x14ac:dyDescent="0.2">
      <c r="A50" s="50">
        <f>'BİLGİ GİRİŞİ'!A45</f>
        <v>43</v>
      </c>
      <c r="B50" s="90">
        <f>'BİLGİ GİRİŞİ'!B45</f>
        <v>0</v>
      </c>
      <c r="C50" s="90">
        <f>'BİLGİ GİRİŞİ'!C45</f>
        <v>0</v>
      </c>
      <c r="D50" s="50">
        <f t="shared" si="40"/>
        <v>0</v>
      </c>
      <c r="E50" s="50"/>
      <c r="F50" s="50"/>
      <c r="G50" s="50"/>
      <c r="H50" s="50">
        <f>'BİLGİ GİRİŞİ'!G45</f>
        <v>0</v>
      </c>
      <c r="I50" s="51">
        <f t="shared" si="2"/>
        <v>32.962299999999999</v>
      </c>
      <c r="J50" s="191"/>
      <c r="K50" s="191"/>
      <c r="L50" s="191"/>
      <c r="M50" s="191"/>
      <c r="N50" s="191"/>
      <c r="O50" s="52">
        <f t="shared" si="41"/>
        <v>0</v>
      </c>
      <c r="P50" s="52">
        <f t="shared" si="42"/>
        <v>0</v>
      </c>
      <c r="Q50" s="52">
        <f t="shared" si="43"/>
        <v>0</v>
      </c>
      <c r="R50" s="247">
        <f>ASG.GEÇ.İND.BORD.!E48</f>
        <v>0</v>
      </c>
      <c r="S50" s="52">
        <f>'BİLGİ GİRİŞİ'!U45</f>
        <v>0</v>
      </c>
      <c r="T50" s="52">
        <f t="shared" si="44"/>
        <v>0</v>
      </c>
      <c r="U50" s="52">
        <f t="shared" si="45"/>
        <v>0</v>
      </c>
      <c r="V50" s="52">
        <f t="shared" si="46"/>
        <v>0</v>
      </c>
      <c r="W50" s="52">
        <f>'BİLGİ GİRİŞİ'!H45</f>
        <v>0</v>
      </c>
      <c r="X50" s="52">
        <f t="shared" si="47"/>
        <v>0</v>
      </c>
      <c r="Y50" s="52">
        <f t="shared" si="48"/>
        <v>0</v>
      </c>
      <c r="Z50" s="52">
        <f t="shared" si="49"/>
        <v>0</v>
      </c>
      <c r="AA50" s="52">
        <f t="shared" si="50"/>
        <v>0</v>
      </c>
      <c r="AB50" s="192">
        <f t="shared" si="51"/>
        <v>0</v>
      </c>
      <c r="AC50" s="52">
        <f t="shared" si="52"/>
        <v>0</v>
      </c>
    </row>
    <row r="51" spans="1:29" ht="14.25" hidden="1" customHeight="1" x14ac:dyDescent="0.2">
      <c r="A51" s="50">
        <f>'BİLGİ GİRİŞİ'!A46</f>
        <v>44</v>
      </c>
      <c r="B51" s="90">
        <f>'BİLGİ GİRİŞİ'!B46</f>
        <v>0</v>
      </c>
      <c r="C51" s="90">
        <f>'BİLGİ GİRİŞİ'!C46</f>
        <v>0</v>
      </c>
      <c r="D51" s="50">
        <f t="shared" si="40"/>
        <v>0</v>
      </c>
      <c r="E51" s="50"/>
      <c r="F51" s="50"/>
      <c r="G51" s="50"/>
      <c r="H51" s="50">
        <f>'BİLGİ GİRİŞİ'!G46</f>
        <v>0</v>
      </c>
      <c r="I51" s="51">
        <f t="shared" si="2"/>
        <v>32.962299999999999</v>
      </c>
      <c r="J51" s="191"/>
      <c r="K51" s="191"/>
      <c r="L51" s="191"/>
      <c r="M51" s="191"/>
      <c r="N51" s="191"/>
      <c r="O51" s="52">
        <f t="shared" si="41"/>
        <v>0</v>
      </c>
      <c r="P51" s="52">
        <f t="shared" si="42"/>
        <v>0</v>
      </c>
      <c r="Q51" s="52">
        <f t="shared" si="43"/>
        <v>0</v>
      </c>
      <c r="R51" s="247">
        <f>ASG.GEÇ.İND.BORD.!E49</f>
        <v>0</v>
      </c>
      <c r="S51" s="52">
        <f>'BİLGİ GİRİŞİ'!U46</f>
        <v>0</v>
      </c>
      <c r="T51" s="52">
        <f t="shared" si="44"/>
        <v>0</v>
      </c>
      <c r="U51" s="52">
        <f t="shared" si="45"/>
        <v>0</v>
      </c>
      <c r="V51" s="52">
        <f t="shared" si="46"/>
        <v>0</v>
      </c>
      <c r="W51" s="52">
        <f>'BİLGİ GİRİŞİ'!H46</f>
        <v>0</v>
      </c>
      <c r="X51" s="52">
        <f t="shared" si="47"/>
        <v>0</v>
      </c>
      <c r="Y51" s="52">
        <f t="shared" si="48"/>
        <v>0</v>
      </c>
      <c r="Z51" s="52">
        <f t="shared" si="49"/>
        <v>0</v>
      </c>
      <c r="AA51" s="52">
        <f t="shared" si="50"/>
        <v>0</v>
      </c>
      <c r="AB51" s="192">
        <f t="shared" si="51"/>
        <v>0</v>
      </c>
      <c r="AC51" s="52">
        <f t="shared" si="52"/>
        <v>0</v>
      </c>
    </row>
    <row r="52" spans="1:29" ht="14.25" hidden="1" customHeight="1" x14ac:dyDescent="0.2">
      <c r="A52" s="50">
        <f>'BİLGİ GİRİŞİ'!A47</f>
        <v>45</v>
      </c>
      <c r="B52" s="90">
        <f>'BİLGİ GİRİŞİ'!B47</f>
        <v>0</v>
      </c>
      <c r="C52" s="90">
        <f>'BİLGİ GİRİŞİ'!C47</f>
        <v>0</v>
      </c>
      <c r="D52" s="50">
        <f t="shared" si="40"/>
        <v>0</v>
      </c>
      <c r="E52" s="50"/>
      <c r="F52" s="50"/>
      <c r="G52" s="50"/>
      <c r="H52" s="50">
        <f>'BİLGİ GİRİŞİ'!G47</f>
        <v>0</v>
      </c>
      <c r="I52" s="51">
        <f t="shared" si="2"/>
        <v>32.962299999999999</v>
      </c>
      <c r="J52" s="191"/>
      <c r="K52" s="191"/>
      <c r="L52" s="191"/>
      <c r="M52" s="191"/>
      <c r="N52" s="191"/>
      <c r="O52" s="52">
        <f t="shared" si="41"/>
        <v>0</v>
      </c>
      <c r="P52" s="52">
        <f t="shared" si="42"/>
        <v>0</v>
      </c>
      <c r="Q52" s="52">
        <f t="shared" si="43"/>
        <v>0</v>
      </c>
      <c r="R52" s="247">
        <f>ASG.GEÇ.İND.BORD.!E50</f>
        <v>0</v>
      </c>
      <c r="S52" s="52">
        <f>'BİLGİ GİRİŞİ'!U47</f>
        <v>0</v>
      </c>
      <c r="T52" s="52">
        <f t="shared" si="44"/>
        <v>0</v>
      </c>
      <c r="U52" s="52">
        <f t="shared" si="45"/>
        <v>0</v>
      </c>
      <c r="V52" s="52">
        <f t="shared" si="46"/>
        <v>0</v>
      </c>
      <c r="W52" s="52">
        <f>'BİLGİ GİRİŞİ'!H47</f>
        <v>0</v>
      </c>
      <c r="X52" s="52">
        <f t="shared" si="47"/>
        <v>0</v>
      </c>
      <c r="Y52" s="52">
        <f t="shared" si="48"/>
        <v>0</v>
      </c>
      <c r="Z52" s="52">
        <f t="shared" si="49"/>
        <v>0</v>
      </c>
      <c r="AA52" s="52">
        <f t="shared" si="50"/>
        <v>0</v>
      </c>
      <c r="AB52" s="192">
        <f t="shared" si="51"/>
        <v>0</v>
      </c>
      <c r="AC52" s="52">
        <f t="shared" si="52"/>
        <v>0</v>
      </c>
    </row>
    <row r="53" spans="1:29" ht="14.25" hidden="1" customHeight="1" x14ac:dyDescent="0.2">
      <c r="A53" s="50">
        <f>'BİLGİ GİRİŞİ'!A48</f>
        <v>46</v>
      </c>
      <c r="B53" s="90">
        <f>'BİLGİ GİRİŞİ'!B48</f>
        <v>0</v>
      </c>
      <c r="C53" s="90">
        <f>'BİLGİ GİRİŞİ'!C48</f>
        <v>0</v>
      </c>
      <c r="D53" s="50">
        <f t="shared" si="40"/>
        <v>0</v>
      </c>
      <c r="E53" s="50"/>
      <c r="F53" s="50"/>
      <c r="G53" s="50"/>
      <c r="H53" s="50">
        <f>'BİLGİ GİRİŞİ'!G48</f>
        <v>0</v>
      </c>
      <c r="I53" s="51">
        <f t="shared" si="2"/>
        <v>32.962299999999999</v>
      </c>
      <c r="J53" s="191"/>
      <c r="K53" s="191"/>
      <c r="L53" s="191"/>
      <c r="M53" s="191"/>
      <c r="N53" s="191"/>
      <c r="O53" s="52">
        <f t="shared" si="41"/>
        <v>0</v>
      </c>
      <c r="P53" s="52">
        <f t="shared" si="42"/>
        <v>0</v>
      </c>
      <c r="Q53" s="52">
        <f t="shared" si="43"/>
        <v>0</v>
      </c>
      <c r="R53" s="247">
        <f>ASG.GEÇ.İND.BORD.!E51</f>
        <v>0</v>
      </c>
      <c r="S53" s="52">
        <f>'BİLGİ GİRİŞİ'!U48</f>
        <v>0</v>
      </c>
      <c r="T53" s="52">
        <f t="shared" si="44"/>
        <v>0</v>
      </c>
      <c r="U53" s="52">
        <f t="shared" si="45"/>
        <v>0</v>
      </c>
      <c r="V53" s="52">
        <f t="shared" si="46"/>
        <v>0</v>
      </c>
      <c r="W53" s="52">
        <f>'BİLGİ GİRİŞİ'!H48</f>
        <v>0</v>
      </c>
      <c r="X53" s="52">
        <f t="shared" si="47"/>
        <v>0</v>
      </c>
      <c r="Y53" s="52">
        <f t="shared" si="48"/>
        <v>0</v>
      </c>
      <c r="Z53" s="52">
        <f t="shared" si="49"/>
        <v>0</v>
      </c>
      <c r="AA53" s="52">
        <f t="shared" si="50"/>
        <v>0</v>
      </c>
      <c r="AB53" s="192">
        <f t="shared" si="51"/>
        <v>0</v>
      </c>
      <c r="AC53" s="52">
        <f t="shared" si="52"/>
        <v>0</v>
      </c>
    </row>
    <row r="54" spans="1:29" ht="14.25" hidden="1" customHeight="1" x14ac:dyDescent="0.2">
      <c r="A54" s="50">
        <f>'BİLGİ GİRİŞİ'!A49</f>
        <v>47</v>
      </c>
      <c r="B54" s="90">
        <f>'BİLGİ GİRİŞİ'!B49</f>
        <v>0</v>
      </c>
      <c r="C54" s="90">
        <f>'BİLGİ GİRİŞİ'!C49</f>
        <v>0</v>
      </c>
      <c r="D54" s="50">
        <f t="shared" si="40"/>
        <v>0</v>
      </c>
      <c r="E54" s="50"/>
      <c r="F54" s="50"/>
      <c r="G54" s="50"/>
      <c r="H54" s="50">
        <f>'BİLGİ GİRİŞİ'!G49</f>
        <v>0</v>
      </c>
      <c r="I54" s="51">
        <f t="shared" si="2"/>
        <v>32.962299999999999</v>
      </c>
      <c r="J54" s="191"/>
      <c r="K54" s="191"/>
      <c r="L54" s="191"/>
      <c r="M54" s="191"/>
      <c r="N54" s="191"/>
      <c r="O54" s="52">
        <f t="shared" si="41"/>
        <v>0</v>
      </c>
      <c r="P54" s="52">
        <f t="shared" si="42"/>
        <v>0</v>
      </c>
      <c r="Q54" s="52">
        <f t="shared" si="43"/>
        <v>0</v>
      </c>
      <c r="R54" s="247">
        <f>ASG.GEÇ.İND.BORD.!E52</f>
        <v>0</v>
      </c>
      <c r="S54" s="52">
        <f>'BİLGİ GİRİŞİ'!U49</f>
        <v>0</v>
      </c>
      <c r="T54" s="52">
        <f t="shared" si="44"/>
        <v>0</v>
      </c>
      <c r="U54" s="52">
        <f t="shared" si="45"/>
        <v>0</v>
      </c>
      <c r="V54" s="52">
        <f t="shared" si="46"/>
        <v>0</v>
      </c>
      <c r="W54" s="52">
        <f>'BİLGİ GİRİŞİ'!H49</f>
        <v>0</v>
      </c>
      <c r="X54" s="52">
        <f t="shared" si="47"/>
        <v>0</v>
      </c>
      <c r="Y54" s="52">
        <f t="shared" si="48"/>
        <v>0</v>
      </c>
      <c r="Z54" s="52">
        <f t="shared" si="49"/>
        <v>0</v>
      </c>
      <c r="AA54" s="52">
        <f t="shared" si="50"/>
        <v>0</v>
      </c>
      <c r="AB54" s="192">
        <f t="shared" si="51"/>
        <v>0</v>
      </c>
      <c r="AC54" s="52">
        <f t="shared" si="52"/>
        <v>0</v>
      </c>
    </row>
    <row r="55" spans="1:29" ht="14.25" hidden="1" customHeight="1" x14ac:dyDescent="0.2">
      <c r="A55" s="50">
        <f>'BİLGİ GİRİŞİ'!A50</f>
        <v>48</v>
      </c>
      <c r="B55" s="90">
        <f>'BİLGİ GİRİŞİ'!B50</f>
        <v>0</v>
      </c>
      <c r="C55" s="90">
        <f>'BİLGİ GİRİŞİ'!C50</f>
        <v>0</v>
      </c>
      <c r="D55" s="50">
        <f t="shared" si="40"/>
        <v>0</v>
      </c>
      <c r="E55" s="50"/>
      <c r="F55" s="50"/>
      <c r="G55" s="50"/>
      <c r="H55" s="50">
        <f>'BİLGİ GİRİŞİ'!G50</f>
        <v>0</v>
      </c>
      <c r="I55" s="51">
        <f t="shared" si="2"/>
        <v>32.962299999999999</v>
      </c>
      <c r="J55" s="191"/>
      <c r="K55" s="191"/>
      <c r="L55" s="191"/>
      <c r="M55" s="191"/>
      <c r="N55" s="191"/>
      <c r="O55" s="52">
        <f t="shared" si="41"/>
        <v>0</v>
      </c>
      <c r="P55" s="52">
        <f t="shared" si="42"/>
        <v>0</v>
      </c>
      <c r="Q55" s="52">
        <f t="shared" si="43"/>
        <v>0</v>
      </c>
      <c r="R55" s="247">
        <f>ASG.GEÇ.İND.BORD.!E53</f>
        <v>0</v>
      </c>
      <c r="S55" s="52">
        <f>'BİLGİ GİRİŞİ'!U50</f>
        <v>0</v>
      </c>
      <c r="T55" s="52">
        <f t="shared" si="44"/>
        <v>0</v>
      </c>
      <c r="U55" s="52">
        <f t="shared" si="45"/>
        <v>0</v>
      </c>
      <c r="V55" s="52">
        <f t="shared" si="46"/>
        <v>0</v>
      </c>
      <c r="W55" s="52">
        <f>'BİLGİ GİRİŞİ'!H50</f>
        <v>0</v>
      </c>
      <c r="X55" s="52">
        <f t="shared" si="47"/>
        <v>0</v>
      </c>
      <c r="Y55" s="52">
        <f t="shared" si="48"/>
        <v>0</v>
      </c>
      <c r="Z55" s="52">
        <f t="shared" si="49"/>
        <v>0</v>
      </c>
      <c r="AA55" s="52">
        <f t="shared" si="50"/>
        <v>0</v>
      </c>
      <c r="AB55" s="192">
        <f t="shared" si="51"/>
        <v>0</v>
      </c>
      <c r="AC55" s="52">
        <f t="shared" si="52"/>
        <v>0</v>
      </c>
    </row>
    <row r="56" spans="1:29" ht="14.25" hidden="1" customHeight="1" x14ac:dyDescent="0.2">
      <c r="A56" s="50"/>
      <c r="B56" s="90"/>
      <c r="C56" s="90"/>
      <c r="D56" s="50"/>
      <c r="E56" s="50"/>
      <c r="F56" s="50"/>
      <c r="G56" s="50"/>
      <c r="H56" s="50"/>
      <c r="I56" s="51"/>
      <c r="J56" s="191"/>
      <c r="K56" s="191"/>
      <c r="L56" s="191"/>
      <c r="M56" s="191"/>
      <c r="N56" s="191"/>
      <c r="O56" s="52"/>
      <c r="P56" s="52"/>
      <c r="Q56" s="52"/>
      <c r="R56" s="247">
        <f>ASG.GEÇ.İND.BORD.!E54</f>
        <v>0</v>
      </c>
      <c r="S56" s="52"/>
      <c r="T56" s="52"/>
      <c r="U56" s="52"/>
      <c r="V56" s="52"/>
      <c r="W56" s="52"/>
      <c r="X56" s="52"/>
      <c r="Y56" s="52"/>
      <c r="Z56" s="52"/>
      <c r="AA56" s="52"/>
      <c r="AB56" s="192"/>
      <c r="AC56" s="52"/>
    </row>
    <row r="57" spans="1:29" ht="14.25" hidden="1" customHeight="1" x14ac:dyDescent="0.2">
      <c r="A57" s="50"/>
      <c r="B57" s="90"/>
      <c r="C57" s="90"/>
      <c r="D57" s="50"/>
      <c r="E57" s="50"/>
      <c r="F57" s="50"/>
      <c r="G57" s="50"/>
      <c r="H57" s="50"/>
      <c r="I57" s="51"/>
      <c r="J57" s="191"/>
      <c r="K57" s="191"/>
      <c r="L57" s="191"/>
      <c r="M57" s="191"/>
      <c r="N57" s="191"/>
      <c r="O57" s="52"/>
      <c r="P57" s="52"/>
      <c r="Q57" s="52"/>
      <c r="R57" s="247">
        <f>ASG.GEÇ.İND.BORD.!E55</f>
        <v>0</v>
      </c>
      <c r="S57" s="52"/>
      <c r="T57" s="52"/>
      <c r="U57" s="52"/>
      <c r="V57" s="52"/>
      <c r="W57" s="52"/>
      <c r="X57" s="52"/>
      <c r="Y57" s="52"/>
      <c r="Z57" s="52"/>
      <c r="AA57" s="52"/>
      <c r="AB57" s="192"/>
      <c r="AC57" s="52"/>
    </row>
    <row r="58" spans="1:29" ht="14.25" customHeight="1" x14ac:dyDescent="0.2">
      <c r="A58" s="281" t="s">
        <v>313</v>
      </c>
      <c r="B58" s="282"/>
      <c r="C58" s="283"/>
      <c r="D58" s="53">
        <f>SUM(D8:D57)</f>
        <v>102</v>
      </c>
      <c r="E58" s="53"/>
      <c r="F58" s="284" t="s">
        <v>312</v>
      </c>
      <c r="G58" s="285"/>
      <c r="H58" s="53">
        <f>SUM(H8:H57)</f>
        <v>741</v>
      </c>
      <c r="I58" s="127"/>
      <c r="J58" s="127"/>
      <c r="K58" s="127"/>
      <c r="L58" s="127"/>
      <c r="M58" s="127"/>
      <c r="N58" s="127"/>
      <c r="O58" s="54">
        <f>SUM(O8:O57)</f>
        <v>26546.43</v>
      </c>
      <c r="P58" s="54">
        <f>SUM(P8:P57)</f>
        <v>5442.1100000000006</v>
      </c>
      <c r="Q58" s="54">
        <f>SUM(Q8:Q57)</f>
        <v>31988.540000000005</v>
      </c>
      <c r="R58" s="54">
        <f>SUM(R8:R57)</f>
        <v>1876.5</v>
      </c>
      <c r="S58" s="126"/>
      <c r="T58" s="126"/>
      <c r="U58" s="54">
        <f t="shared" ref="U58:AC58" si="53">SUM(U8:U57)</f>
        <v>0</v>
      </c>
      <c r="V58" s="54">
        <f t="shared" si="53"/>
        <v>0</v>
      </c>
      <c r="W58" s="54">
        <f t="shared" si="53"/>
        <v>0</v>
      </c>
      <c r="X58" s="54">
        <f t="shared" si="53"/>
        <v>5442.1100000000006</v>
      </c>
      <c r="Y58" s="54">
        <f t="shared" si="53"/>
        <v>3716.51</v>
      </c>
      <c r="Z58" s="174">
        <f t="shared" si="53"/>
        <v>9158.619999999999</v>
      </c>
      <c r="AA58" s="54">
        <f t="shared" si="53"/>
        <v>9158.619999999999</v>
      </c>
      <c r="AB58" s="54">
        <f t="shared" si="53"/>
        <v>0</v>
      </c>
      <c r="AC58" s="54">
        <f t="shared" si="53"/>
        <v>22829.920000000002</v>
      </c>
    </row>
    <row r="63" spans="1:29" x14ac:dyDescent="0.2">
      <c r="B63" s="309" t="s">
        <v>308</v>
      </c>
      <c r="C63" s="309"/>
      <c r="X63" s="291"/>
      <c r="Y63" s="291"/>
      <c r="Z63" s="291"/>
    </row>
    <row r="64" spans="1:29" x14ac:dyDescent="0.2">
      <c r="B64" s="310" t="s">
        <v>307</v>
      </c>
      <c r="C64" s="310"/>
      <c r="D64" s="310"/>
      <c r="R64" s="291" t="s">
        <v>310</v>
      </c>
      <c r="S64" s="291"/>
      <c r="T64" s="291"/>
      <c r="U64" s="291"/>
      <c r="V64" s="291"/>
      <c r="X64" s="291"/>
      <c r="Y64" s="291"/>
      <c r="Z64" s="291"/>
    </row>
    <row r="65" spans="2:22" x14ac:dyDescent="0.2">
      <c r="B65" s="310" t="s">
        <v>306</v>
      </c>
      <c r="C65" s="310"/>
      <c r="D65" s="310"/>
      <c r="R65" s="291" t="s">
        <v>264</v>
      </c>
      <c r="S65" s="291"/>
      <c r="T65" s="291"/>
      <c r="U65" s="291"/>
      <c r="V65" s="291"/>
    </row>
    <row r="66" spans="2:22" x14ac:dyDescent="0.2">
      <c r="B66" s="291" t="s">
        <v>309</v>
      </c>
      <c r="C66" s="291"/>
      <c r="D66" s="291"/>
      <c r="R66" s="291" t="s">
        <v>311</v>
      </c>
      <c r="S66" s="291"/>
      <c r="T66" s="291"/>
      <c r="U66" s="291"/>
      <c r="V66" s="291"/>
    </row>
  </sheetData>
  <mergeCells count="53">
    <mergeCell ref="X63:Z63"/>
    <mergeCell ref="X64:Z64"/>
    <mergeCell ref="B66:D66"/>
    <mergeCell ref="R64:V64"/>
    <mergeCell ref="R65:V65"/>
    <mergeCell ref="R66:V66"/>
    <mergeCell ref="B63:C63"/>
    <mergeCell ref="B65:D65"/>
    <mergeCell ref="B64:D64"/>
    <mergeCell ref="AA3:AC3"/>
    <mergeCell ref="Y1:Z2"/>
    <mergeCell ref="U1:X1"/>
    <mergeCell ref="AA1:AC2"/>
    <mergeCell ref="D1:H1"/>
    <mergeCell ref="V3:X3"/>
    <mergeCell ref="Y3:Z3"/>
    <mergeCell ref="J2:W2"/>
    <mergeCell ref="D2:H2"/>
    <mergeCell ref="D3:H3"/>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T4:T7"/>
    <mergeCell ref="A2:C2"/>
    <mergeCell ref="A3:C3"/>
    <mergeCell ref="C4:C7"/>
    <mergeCell ref="I4:I7"/>
    <mergeCell ref="L4:L7"/>
    <mergeCell ref="M4:M7"/>
    <mergeCell ref="N4:N7"/>
    <mergeCell ref="F4:F7"/>
    <mergeCell ref="G4:G7"/>
    <mergeCell ref="A1:C1"/>
    <mergeCell ref="D4:D7"/>
    <mergeCell ref="H4:H7"/>
    <mergeCell ref="Q4:Q7"/>
    <mergeCell ref="O4:O7"/>
    <mergeCell ref="P4:P7"/>
    <mergeCell ref="J4:J7"/>
    <mergeCell ref="K4:K7"/>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43" t="s">
        <v>140</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row>
    <row r="2" spans="1:38" ht="13.5" customHeight="1" x14ac:dyDescent="0.2"/>
    <row r="3" spans="1:38" ht="12.75" customHeight="1" x14ac:dyDescent="0.2">
      <c r="A3" s="348" t="s">
        <v>141</v>
      </c>
      <c r="B3" s="349"/>
      <c r="C3" s="349"/>
      <c r="D3" s="350"/>
      <c r="E3" s="330"/>
      <c r="F3" s="330"/>
      <c r="G3" s="330"/>
      <c r="H3" s="330"/>
      <c r="I3" s="330"/>
      <c r="J3" s="330"/>
      <c r="K3" s="330" t="s">
        <v>189</v>
      </c>
      <c r="L3" s="330"/>
      <c r="M3" s="330"/>
      <c r="N3" s="330"/>
      <c r="O3" s="329" t="s">
        <v>1</v>
      </c>
      <c r="P3" s="329"/>
      <c r="Q3" s="329"/>
      <c r="R3" s="343"/>
      <c r="S3" s="343"/>
      <c r="T3" s="343"/>
      <c r="U3" s="343"/>
      <c r="V3" s="444" t="s">
        <v>30</v>
      </c>
      <c r="W3" s="445"/>
      <c r="X3" s="446"/>
      <c r="Y3" s="48"/>
      <c r="Z3" s="49"/>
      <c r="AA3" s="49"/>
      <c r="AB3" s="49"/>
      <c r="AC3" s="49"/>
      <c r="AD3" s="49"/>
      <c r="AE3" s="351" t="s">
        <v>237</v>
      </c>
      <c r="AF3" s="351"/>
      <c r="AG3" s="351"/>
      <c r="AH3" s="351"/>
      <c r="AI3" s="351"/>
      <c r="AJ3" s="351"/>
      <c r="AK3" s="351"/>
      <c r="AL3" s="352"/>
    </row>
    <row r="4" spans="1:38" ht="12.75" customHeight="1" x14ac:dyDescent="0.2">
      <c r="A4" s="348" t="s">
        <v>142</v>
      </c>
      <c r="B4" s="349"/>
      <c r="C4" s="349"/>
      <c r="D4" s="350"/>
      <c r="E4" s="330"/>
      <c r="F4" s="330"/>
      <c r="G4" s="330"/>
      <c r="H4" s="330"/>
      <c r="I4" s="330"/>
      <c r="J4" s="330"/>
      <c r="K4" s="330"/>
      <c r="L4" s="330"/>
      <c r="M4" s="330"/>
      <c r="N4" s="330"/>
      <c r="O4" s="329" t="s">
        <v>190</v>
      </c>
      <c r="P4" s="329"/>
      <c r="Q4" s="329"/>
      <c r="R4" s="343"/>
      <c r="S4" s="343"/>
      <c r="T4" s="343"/>
      <c r="U4" s="343"/>
      <c r="V4" s="447"/>
      <c r="W4" s="448"/>
      <c r="X4" s="449"/>
      <c r="Y4" s="353" t="s">
        <v>31</v>
      </c>
      <c r="Z4" s="353"/>
      <c r="AA4" s="353"/>
      <c r="AB4" s="353"/>
      <c r="AC4" s="353"/>
      <c r="AD4" s="353"/>
      <c r="AE4" s="354"/>
      <c r="AF4" s="355"/>
      <c r="AG4" s="355"/>
      <c r="AH4" s="355"/>
      <c r="AI4" s="355"/>
      <c r="AJ4" s="355"/>
      <c r="AK4" s="355"/>
      <c r="AL4" s="356"/>
    </row>
    <row r="5" spans="1:38" ht="12.75" customHeight="1" x14ac:dyDescent="0.2">
      <c r="A5" s="332" t="s">
        <v>32</v>
      </c>
      <c r="B5" s="338"/>
      <c r="C5" s="338"/>
      <c r="D5" s="333"/>
      <c r="E5" s="7">
        <v>1</v>
      </c>
      <c r="F5" s="7">
        <v>2</v>
      </c>
      <c r="G5" s="7">
        <v>3</v>
      </c>
      <c r="H5" s="7">
        <v>4</v>
      </c>
      <c r="I5" s="330">
        <v>5</v>
      </c>
      <c r="J5" s="330"/>
      <c r="K5" s="330" t="s">
        <v>33</v>
      </c>
      <c r="L5" s="330"/>
      <c r="M5" s="330"/>
      <c r="N5" s="330"/>
      <c r="O5" s="329" t="s">
        <v>1</v>
      </c>
      <c r="P5" s="329"/>
      <c r="Q5" s="329"/>
      <c r="R5" s="343"/>
      <c r="S5" s="343"/>
      <c r="T5" s="343"/>
      <c r="U5" s="343"/>
      <c r="V5" s="447"/>
      <c r="W5" s="448"/>
      <c r="X5" s="449"/>
      <c r="Y5" s="453" t="s">
        <v>34</v>
      </c>
      <c r="Z5" s="454"/>
      <c r="AA5" s="454"/>
      <c r="AB5" s="454"/>
      <c r="AC5" s="454"/>
      <c r="AD5" s="455"/>
      <c r="AE5" s="354"/>
      <c r="AF5" s="355"/>
      <c r="AG5" s="355"/>
      <c r="AH5" s="355"/>
      <c r="AI5" s="355"/>
      <c r="AJ5" s="355"/>
      <c r="AK5" s="355"/>
      <c r="AL5" s="356"/>
    </row>
    <row r="6" spans="1:38" x14ac:dyDescent="0.2">
      <c r="A6" s="334"/>
      <c r="B6" s="339"/>
      <c r="C6" s="339"/>
      <c r="D6" s="335"/>
      <c r="E6" s="7">
        <v>13</v>
      </c>
      <c r="F6" s="7">
        <v>1</v>
      </c>
      <c r="G6" s="7">
        <v>31</v>
      </c>
      <c r="H6" s="7">
        <v>62</v>
      </c>
      <c r="I6" s="330">
        <v>285</v>
      </c>
      <c r="J6" s="330"/>
      <c r="K6" s="330"/>
      <c r="L6" s="330"/>
      <c r="M6" s="330"/>
      <c r="N6" s="330"/>
      <c r="O6" s="329" t="s">
        <v>190</v>
      </c>
      <c r="P6" s="329"/>
      <c r="Q6" s="329"/>
      <c r="R6" s="343"/>
      <c r="S6" s="343"/>
      <c r="T6" s="343"/>
      <c r="U6" s="343"/>
      <c r="V6" s="447"/>
      <c r="W6" s="448"/>
      <c r="X6" s="449"/>
      <c r="Y6" s="453" t="s">
        <v>35</v>
      </c>
      <c r="Z6" s="454"/>
      <c r="AA6" s="454"/>
      <c r="AB6" s="454"/>
      <c r="AC6" s="454"/>
      <c r="AD6" s="455"/>
      <c r="AE6" s="456"/>
      <c r="AF6" s="457"/>
      <c r="AG6" s="457"/>
      <c r="AH6" s="457"/>
      <c r="AI6" s="457"/>
      <c r="AJ6" s="457"/>
      <c r="AK6" s="457"/>
      <c r="AL6" s="458"/>
    </row>
    <row r="7" spans="1:38" x14ac:dyDescent="0.2">
      <c r="A7" s="453" t="s">
        <v>36</v>
      </c>
      <c r="B7" s="454"/>
      <c r="C7" s="454"/>
      <c r="D7" s="455"/>
      <c r="E7" s="354" t="s">
        <v>163</v>
      </c>
      <c r="F7" s="355"/>
      <c r="G7" s="355"/>
      <c r="H7" s="355"/>
      <c r="I7" s="355"/>
      <c r="J7" s="355"/>
      <c r="K7" s="355"/>
      <c r="L7" s="355"/>
      <c r="M7" s="355"/>
      <c r="N7" s="355"/>
      <c r="O7" s="355"/>
      <c r="P7" s="355"/>
      <c r="Q7" s="355"/>
      <c r="R7" s="355"/>
      <c r="S7" s="355"/>
      <c r="T7" s="355"/>
      <c r="U7" s="355"/>
      <c r="V7" s="447"/>
      <c r="W7" s="448"/>
      <c r="X7" s="449"/>
      <c r="Y7" s="453" t="s">
        <v>37</v>
      </c>
      <c r="Z7" s="454"/>
      <c r="AA7" s="454"/>
      <c r="AB7" s="454"/>
      <c r="AC7" s="454"/>
      <c r="AD7" s="455"/>
      <c r="AE7" s="354"/>
      <c r="AF7" s="355"/>
      <c r="AG7" s="355"/>
      <c r="AH7" s="355"/>
      <c r="AI7" s="355"/>
      <c r="AJ7" s="355"/>
      <c r="AK7" s="355"/>
      <c r="AL7" s="356"/>
    </row>
    <row r="8" spans="1:38" x14ac:dyDescent="0.2">
      <c r="A8" s="453" t="s">
        <v>38</v>
      </c>
      <c r="B8" s="454"/>
      <c r="C8" s="454"/>
      <c r="D8" s="455"/>
      <c r="E8" s="144" t="s">
        <v>244</v>
      </c>
      <c r="F8" s="145"/>
      <c r="G8" s="145"/>
      <c r="H8" s="145"/>
      <c r="I8" s="145"/>
      <c r="J8" s="145"/>
      <c r="K8" s="145"/>
      <c r="L8" s="145"/>
      <c r="M8" s="145"/>
      <c r="N8" s="145"/>
      <c r="O8" s="145"/>
      <c r="P8" s="145"/>
      <c r="Q8" s="145"/>
      <c r="R8" s="145"/>
      <c r="S8" s="145"/>
      <c r="T8" s="145"/>
      <c r="U8" s="145"/>
      <c r="V8" s="450"/>
      <c r="W8" s="451"/>
      <c r="X8" s="452"/>
      <c r="Y8" s="453" t="s">
        <v>39</v>
      </c>
      <c r="Z8" s="454"/>
      <c r="AA8" s="454"/>
      <c r="AB8" s="454"/>
      <c r="AC8" s="454"/>
      <c r="AD8" s="455"/>
      <c r="AE8" s="354"/>
      <c r="AF8" s="355"/>
      <c r="AG8" s="355"/>
      <c r="AH8" s="355"/>
      <c r="AI8" s="355"/>
      <c r="AJ8" s="355"/>
      <c r="AK8" s="355"/>
      <c r="AL8" s="356"/>
    </row>
    <row r="9" spans="1:38" ht="13.5" customHeight="1" x14ac:dyDescent="0.2">
      <c r="A9" s="370" t="s">
        <v>0</v>
      </c>
      <c r="B9" s="371"/>
      <c r="C9" s="371"/>
      <c r="D9" s="372"/>
      <c r="E9" s="330" t="s">
        <v>40</v>
      </c>
      <c r="F9" s="330"/>
      <c r="G9" s="330"/>
      <c r="H9" s="330"/>
      <c r="I9" s="331" t="s">
        <v>41</v>
      </c>
      <c r="J9" s="331"/>
      <c r="K9" s="331"/>
      <c r="L9" s="331"/>
      <c r="M9" s="332" t="s">
        <v>42</v>
      </c>
      <c r="N9" s="333"/>
      <c r="O9" s="332" t="s">
        <v>143</v>
      </c>
      <c r="P9" s="338"/>
      <c r="Q9" s="338"/>
      <c r="R9" s="333"/>
      <c r="S9" s="336" t="s">
        <v>43</v>
      </c>
      <c r="T9" s="363"/>
      <c r="U9" s="363"/>
      <c r="V9" s="363"/>
      <c r="W9" s="363"/>
      <c r="X9" s="363"/>
      <c r="Y9" s="363"/>
      <c r="Z9" s="363"/>
      <c r="AA9" s="363"/>
      <c r="AB9" s="363"/>
      <c r="AC9" s="363"/>
      <c r="AD9" s="337"/>
      <c r="AE9" s="364" t="s">
        <v>44</v>
      </c>
      <c r="AF9" s="365"/>
      <c r="AG9" s="365"/>
      <c r="AH9" s="365"/>
      <c r="AI9" s="365"/>
      <c r="AJ9" s="365"/>
      <c r="AK9" s="365"/>
      <c r="AL9" s="366"/>
    </row>
    <row r="10" spans="1:38" ht="9.9499999999999993" customHeight="1" x14ac:dyDescent="0.2">
      <c r="A10" s="373"/>
      <c r="B10" s="374"/>
      <c r="C10" s="374"/>
      <c r="D10" s="375"/>
      <c r="E10" s="330"/>
      <c r="F10" s="330"/>
      <c r="G10" s="330"/>
      <c r="H10" s="330"/>
      <c r="I10" s="331"/>
      <c r="J10" s="331"/>
      <c r="K10" s="331"/>
      <c r="L10" s="331"/>
      <c r="M10" s="334"/>
      <c r="N10" s="335"/>
      <c r="O10" s="334"/>
      <c r="P10" s="339"/>
      <c r="Q10" s="339"/>
      <c r="R10" s="335"/>
      <c r="S10" s="330" t="s">
        <v>45</v>
      </c>
      <c r="T10" s="330"/>
      <c r="U10" s="330"/>
      <c r="V10" s="330"/>
      <c r="W10" s="330"/>
      <c r="X10" s="330"/>
      <c r="Y10" s="330" t="s">
        <v>46</v>
      </c>
      <c r="Z10" s="330"/>
      <c r="AA10" s="330"/>
      <c r="AB10" s="330"/>
      <c r="AC10" s="330"/>
      <c r="AD10" s="330"/>
      <c r="AE10" s="367"/>
      <c r="AF10" s="368"/>
      <c r="AG10" s="368"/>
      <c r="AH10" s="368"/>
      <c r="AI10" s="368"/>
      <c r="AJ10" s="368"/>
      <c r="AK10" s="368"/>
      <c r="AL10" s="369"/>
    </row>
    <row r="11" spans="1:38" ht="17.25" customHeight="1" x14ac:dyDescent="0.2">
      <c r="A11" s="376"/>
      <c r="B11" s="377"/>
      <c r="C11" s="377"/>
      <c r="D11" s="378"/>
      <c r="E11" s="7">
        <v>1</v>
      </c>
      <c r="F11" s="7">
        <v>2</v>
      </c>
      <c r="G11" s="7">
        <v>3</v>
      </c>
      <c r="H11" s="7">
        <v>4</v>
      </c>
      <c r="I11" s="7">
        <v>1</v>
      </c>
      <c r="J11" s="7">
        <v>2</v>
      </c>
      <c r="K11" s="7">
        <v>3</v>
      </c>
      <c r="L11" s="7">
        <v>4</v>
      </c>
      <c r="M11" s="336">
        <v>1</v>
      </c>
      <c r="N11" s="337"/>
      <c r="O11" s="7">
        <v>1</v>
      </c>
      <c r="P11" s="7">
        <v>2</v>
      </c>
      <c r="Q11" s="7">
        <v>3</v>
      </c>
      <c r="R11" s="7">
        <v>4</v>
      </c>
      <c r="S11" s="330"/>
      <c r="T11" s="330"/>
      <c r="U11" s="330"/>
      <c r="V11" s="330"/>
      <c r="W11" s="330"/>
      <c r="X11" s="330"/>
      <c r="Y11" s="330"/>
      <c r="Z11" s="330"/>
      <c r="AA11" s="330"/>
      <c r="AB11" s="330"/>
      <c r="AC11" s="330"/>
      <c r="AD11" s="330"/>
      <c r="AE11" s="311"/>
      <c r="AF11" s="312"/>
      <c r="AG11" s="312"/>
      <c r="AH11" s="312"/>
      <c r="AI11" s="312"/>
      <c r="AJ11" s="312"/>
      <c r="AK11" s="312"/>
      <c r="AL11" s="313"/>
    </row>
    <row r="12" spans="1:38" ht="12.75" customHeight="1" x14ac:dyDescent="0.2">
      <c r="A12" s="311">
        <v>630</v>
      </c>
      <c r="B12" s="312"/>
      <c r="C12" s="312"/>
      <c r="D12" s="313"/>
      <c r="E12" s="9">
        <v>13</v>
      </c>
      <c r="F12" s="9">
        <v>1</v>
      </c>
      <c r="G12" s="9">
        <v>31</v>
      </c>
      <c r="H12" s="9">
        <v>62</v>
      </c>
      <c r="I12" s="9">
        <v>9</v>
      </c>
      <c r="J12" s="9">
        <v>1</v>
      </c>
      <c r="K12" s="9">
        <v>2</v>
      </c>
      <c r="L12" s="9">
        <v>0</v>
      </c>
      <c r="M12" s="314">
        <v>1</v>
      </c>
      <c r="N12" s="314"/>
      <c r="O12" s="10" t="s">
        <v>156</v>
      </c>
      <c r="P12" s="10" t="s">
        <v>161</v>
      </c>
      <c r="Q12" s="10" t="s">
        <v>156</v>
      </c>
      <c r="R12" s="10" t="s">
        <v>208</v>
      </c>
      <c r="S12" s="315">
        <f>BORDRO!O58</f>
        <v>26546.43</v>
      </c>
      <c r="T12" s="316"/>
      <c r="U12" s="316"/>
      <c r="V12" s="316"/>
      <c r="W12" s="316"/>
      <c r="X12" s="317"/>
      <c r="Y12" s="315"/>
      <c r="Z12" s="316"/>
      <c r="AA12" s="316"/>
      <c r="AB12" s="316"/>
      <c r="AC12" s="316"/>
      <c r="AD12" s="317"/>
      <c r="AE12" s="318" t="s">
        <v>209</v>
      </c>
      <c r="AF12" s="319"/>
      <c r="AG12" s="319"/>
      <c r="AH12" s="319"/>
      <c r="AI12" s="319"/>
      <c r="AJ12" s="319"/>
      <c r="AK12" s="319"/>
      <c r="AL12" s="320"/>
    </row>
    <row r="13" spans="1:38" ht="12.75" customHeight="1" x14ac:dyDescent="0.2">
      <c r="A13" s="311">
        <v>630</v>
      </c>
      <c r="B13" s="312"/>
      <c r="C13" s="312"/>
      <c r="D13" s="313"/>
      <c r="E13" s="9"/>
      <c r="F13" s="9"/>
      <c r="G13" s="9"/>
      <c r="H13" s="9"/>
      <c r="I13" s="9"/>
      <c r="J13" s="9"/>
      <c r="K13" s="9"/>
      <c r="L13" s="9"/>
      <c r="M13" s="314"/>
      <c r="N13" s="314"/>
      <c r="O13" s="10" t="s">
        <v>158</v>
      </c>
      <c r="P13" s="10" t="s">
        <v>161</v>
      </c>
      <c r="Q13" s="10" t="s">
        <v>202</v>
      </c>
      <c r="R13" s="10" t="s">
        <v>156</v>
      </c>
      <c r="S13" s="315">
        <f>BORDRO!P58</f>
        <v>5442.1100000000006</v>
      </c>
      <c r="T13" s="316"/>
      <c r="U13" s="316"/>
      <c r="V13" s="316"/>
      <c r="W13" s="316"/>
      <c r="X13" s="317"/>
      <c r="Y13" s="315"/>
      <c r="Z13" s="316"/>
      <c r="AA13" s="316"/>
      <c r="AB13" s="316"/>
      <c r="AC13" s="316"/>
      <c r="AD13" s="317"/>
      <c r="AE13" s="318" t="s">
        <v>160</v>
      </c>
      <c r="AF13" s="319"/>
      <c r="AG13" s="319"/>
      <c r="AH13" s="319"/>
      <c r="AI13" s="319"/>
      <c r="AJ13" s="319"/>
      <c r="AK13" s="319"/>
      <c r="AL13" s="320"/>
    </row>
    <row r="14" spans="1:38" ht="12.75" customHeight="1" x14ac:dyDescent="0.2">
      <c r="A14" s="311">
        <v>630</v>
      </c>
      <c r="B14" s="312"/>
      <c r="C14" s="312"/>
      <c r="D14" s="313"/>
      <c r="E14" s="9"/>
      <c r="F14" s="9"/>
      <c r="G14" s="9"/>
      <c r="H14" s="9"/>
      <c r="I14" s="9"/>
      <c r="J14" s="9"/>
      <c r="K14" s="9"/>
      <c r="L14" s="9"/>
      <c r="M14" s="314"/>
      <c r="N14" s="314"/>
      <c r="O14" s="10" t="s">
        <v>192</v>
      </c>
      <c r="P14" s="10" t="s">
        <v>156</v>
      </c>
      <c r="Q14" s="10" t="s">
        <v>156</v>
      </c>
      <c r="R14" s="10" t="s">
        <v>73</v>
      </c>
      <c r="S14" s="315">
        <f>BORDRO!AB58</f>
        <v>0</v>
      </c>
      <c r="T14" s="316"/>
      <c r="U14" s="316"/>
      <c r="V14" s="316"/>
      <c r="W14" s="316"/>
      <c r="X14" s="317"/>
      <c r="Y14" s="315"/>
      <c r="Z14" s="316"/>
      <c r="AA14" s="316"/>
      <c r="AB14" s="316"/>
      <c r="AC14" s="316"/>
      <c r="AD14" s="317"/>
      <c r="AE14" s="318" t="s">
        <v>193</v>
      </c>
      <c r="AF14" s="319"/>
      <c r="AG14" s="319"/>
      <c r="AH14" s="319"/>
      <c r="AI14" s="319"/>
      <c r="AJ14" s="319"/>
      <c r="AK14" s="319"/>
      <c r="AL14" s="320"/>
    </row>
    <row r="15" spans="1:38" ht="12.75" customHeight="1" x14ac:dyDescent="0.2">
      <c r="A15" s="311">
        <v>600</v>
      </c>
      <c r="B15" s="312"/>
      <c r="C15" s="312"/>
      <c r="D15" s="313"/>
      <c r="E15" s="9"/>
      <c r="F15" s="9"/>
      <c r="G15" s="9"/>
      <c r="H15" s="9"/>
      <c r="I15" s="9"/>
      <c r="J15" s="9"/>
      <c r="K15" s="9"/>
      <c r="L15" s="9"/>
      <c r="M15" s="314"/>
      <c r="N15" s="314"/>
      <c r="O15" s="10" t="s">
        <v>156</v>
      </c>
      <c r="P15" s="10" t="s">
        <v>156</v>
      </c>
      <c r="Q15" s="10" t="s">
        <v>156</v>
      </c>
      <c r="R15" s="10" t="s">
        <v>159</v>
      </c>
      <c r="S15" s="315"/>
      <c r="T15" s="316"/>
      <c r="U15" s="316"/>
      <c r="V15" s="316"/>
      <c r="W15" s="316"/>
      <c r="X15" s="317"/>
      <c r="Y15" s="315">
        <f>BORDRO!U58</f>
        <v>0</v>
      </c>
      <c r="Z15" s="316"/>
      <c r="AA15" s="316"/>
      <c r="AB15" s="316"/>
      <c r="AC15" s="316"/>
      <c r="AD15" s="317"/>
      <c r="AE15" s="318" t="s">
        <v>59</v>
      </c>
      <c r="AF15" s="319"/>
      <c r="AG15" s="319"/>
      <c r="AH15" s="319"/>
      <c r="AI15" s="319"/>
      <c r="AJ15" s="319"/>
      <c r="AK15" s="319"/>
      <c r="AL15" s="320"/>
    </row>
    <row r="16" spans="1:38" ht="12.75" customHeight="1" x14ac:dyDescent="0.2">
      <c r="A16" s="311">
        <v>600</v>
      </c>
      <c r="B16" s="312"/>
      <c r="C16" s="312"/>
      <c r="D16" s="313"/>
      <c r="E16" s="9"/>
      <c r="F16" s="9"/>
      <c r="G16" s="9"/>
      <c r="H16" s="9"/>
      <c r="I16" s="9"/>
      <c r="J16" s="9"/>
      <c r="K16" s="9"/>
      <c r="L16" s="9"/>
      <c r="M16" s="314"/>
      <c r="N16" s="314"/>
      <c r="O16" s="10" t="s">
        <v>156</v>
      </c>
      <c r="P16" s="10" t="s">
        <v>157</v>
      </c>
      <c r="Q16" s="10" t="s">
        <v>156</v>
      </c>
      <c r="R16" s="10" t="s">
        <v>156</v>
      </c>
      <c r="S16" s="315"/>
      <c r="T16" s="316"/>
      <c r="U16" s="316"/>
      <c r="V16" s="316"/>
      <c r="W16" s="316"/>
      <c r="X16" s="317"/>
      <c r="Y16" s="315">
        <f>BORDRO!V58</f>
        <v>0</v>
      </c>
      <c r="Z16" s="316"/>
      <c r="AA16" s="316"/>
      <c r="AB16" s="316"/>
      <c r="AC16" s="316"/>
      <c r="AD16" s="317"/>
      <c r="AE16" s="318" t="s">
        <v>60</v>
      </c>
      <c r="AF16" s="319"/>
      <c r="AG16" s="319"/>
      <c r="AH16" s="319"/>
      <c r="AI16" s="319"/>
      <c r="AJ16" s="319"/>
      <c r="AK16" s="319"/>
      <c r="AL16" s="320"/>
    </row>
    <row r="17" spans="1:42" ht="12.75" customHeight="1" x14ac:dyDescent="0.2">
      <c r="A17" s="311">
        <v>333</v>
      </c>
      <c r="B17" s="312"/>
      <c r="C17" s="312"/>
      <c r="D17" s="313"/>
      <c r="E17" s="112"/>
      <c r="F17" s="112"/>
      <c r="G17" s="112"/>
      <c r="H17" s="112"/>
      <c r="I17" s="112"/>
      <c r="J17" s="112"/>
      <c r="K17" s="112"/>
      <c r="L17" s="112"/>
      <c r="M17" s="314"/>
      <c r="N17" s="314"/>
      <c r="O17" s="10" t="s">
        <v>159</v>
      </c>
      <c r="P17" s="10" t="s">
        <v>156</v>
      </c>
      <c r="Q17" s="10"/>
      <c r="R17" s="10"/>
      <c r="S17" s="315"/>
      <c r="T17" s="316"/>
      <c r="U17" s="316"/>
      <c r="V17" s="316"/>
      <c r="W17" s="316"/>
      <c r="X17" s="317"/>
      <c r="Y17" s="315">
        <f>BORDRO!W58</f>
        <v>0</v>
      </c>
      <c r="Z17" s="316"/>
      <c r="AA17" s="316"/>
      <c r="AB17" s="316"/>
      <c r="AC17" s="316"/>
      <c r="AD17" s="317"/>
      <c r="AE17" s="318" t="s">
        <v>236</v>
      </c>
      <c r="AF17" s="319"/>
      <c r="AG17" s="319"/>
      <c r="AH17" s="319"/>
      <c r="AI17" s="319"/>
      <c r="AJ17" s="319"/>
      <c r="AK17" s="319"/>
      <c r="AL17" s="320"/>
    </row>
    <row r="18" spans="1:42" ht="12.75" customHeight="1" x14ac:dyDescent="0.2">
      <c r="A18" s="311">
        <v>361</v>
      </c>
      <c r="B18" s="312"/>
      <c r="C18" s="312"/>
      <c r="D18" s="313"/>
      <c r="E18" s="89"/>
      <c r="F18" s="89"/>
      <c r="G18" s="89"/>
      <c r="H18" s="89"/>
      <c r="I18" s="89"/>
      <c r="J18" s="89"/>
      <c r="K18" s="89"/>
      <c r="L18" s="89"/>
      <c r="M18" s="314"/>
      <c r="N18" s="314"/>
      <c r="O18" s="10" t="s">
        <v>204</v>
      </c>
      <c r="P18" s="10" t="s">
        <v>156</v>
      </c>
      <c r="Q18" s="10" t="s">
        <v>158</v>
      </c>
      <c r="R18" s="10" t="s">
        <v>156</v>
      </c>
      <c r="S18" s="315"/>
      <c r="T18" s="316"/>
      <c r="U18" s="316"/>
      <c r="V18" s="316"/>
      <c r="W18" s="316"/>
      <c r="X18" s="317"/>
      <c r="Y18" s="379">
        <f>ROUND(PRİMVEHİZBEL!X18*11/100,2)</f>
        <v>2920.11</v>
      </c>
      <c r="Z18" s="380"/>
      <c r="AA18" s="380"/>
      <c r="AB18" s="380"/>
      <c r="AC18" s="380"/>
      <c r="AD18" s="381"/>
      <c r="AE18" s="478" t="s">
        <v>221</v>
      </c>
      <c r="AF18" s="479"/>
      <c r="AG18" s="479"/>
      <c r="AH18" s="479"/>
      <c r="AI18" s="479"/>
      <c r="AJ18" s="479"/>
      <c r="AK18" s="479"/>
      <c r="AL18" s="480"/>
      <c r="AM18" s="321">
        <f>Y18+Y19</f>
        <v>5309.29</v>
      </c>
      <c r="AN18" s="322"/>
      <c r="AO18" s="322"/>
      <c r="AP18" s="322"/>
    </row>
    <row r="19" spans="1:42" ht="12.75" customHeight="1" x14ac:dyDescent="0.2">
      <c r="A19" s="311">
        <v>361</v>
      </c>
      <c r="B19" s="312"/>
      <c r="C19" s="312"/>
      <c r="D19" s="313"/>
      <c r="E19" s="89"/>
      <c r="F19" s="89"/>
      <c r="G19" s="89"/>
      <c r="H19" s="89"/>
      <c r="I19" s="89"/>
      <c r="J19" s="89"/>
      <c r="K19" s="89"/>
      <c r="L19" s="89"/>
      <c r="M19" s="314"/>
      <c r="N19" s="314"/>
      <c r="O19" s="10" t="s">
        <v>204</v>
      </c>
      <c r="P19" s="10" t="s">
        <v>156</v>
      </c>
      <c r="Q19" s="10" t="s">
        <v>156</v>
      </c>
      <c r="R19" s="10" t="s">
        <v>156</v>
      </c>
      <c r="S19" s="315"/>
      <c r="T19" s="316"/>
      <c r="U19" s="316"/>
      <c r="V19" s="316"/>
      <c r="W19" s="316"/>
      <c r="X19" s="317"/>
      <c r="Y19" s="379">
        <f>PRİMVEHİZBEL!AK19-'ÖDEME EMRİ'!Y18:AD18</f>
        <v>2389.1799999999998</v>
      </c>
      <c r="Z19" s="380"/>
      <c r="AA19" s="380"/>
      <c r="AB19" s="380"/>
      <c r="AC19" s="380"/>
      <c r="AD19" s="381"/>
      <c r="AE19" s="478" t="s">
        <v>222</v>
      </c>
      <c r="AF19" s="479"/>
      <c r="AG19" s="479"/>
      <c r="AH19" s="479"/>
      <c r="AI19" s="479"/>
      <c r="AJ19" s="479"/>
      <c r="AK19" s="479"/>
      <c r="AL19" s="480"/>
      <c r="AM19" s="323"/>
      <c r="AN19" s="322"/>
      <c r="AO19" s="322"/>
      <c r="AP19" s="322"/>
    </row>
    <row r="20" spans="1:42" ht="12.75" customHeight="1" x14ac:dyDescent="0.2">
      <c r="A20" s="311">
        <v>361</v>
      </c>
      <c r="B20" s="312"/>
      <c r="C20" s="312"/>
      <c r="D20" s="313"/>
      <c r="E20" s="89"/>
      <c r="F20" s="89"/>
      <c r="G20" s="89"/>
      <c r="H20" s="89"/>
      <c r="I20" s="89"/>
      <c r="J20" s="89"/>
      <c r="K20" s="89"/>
      <c r="L20" s="89"/>
      <c r="M20" s="314"/>
      <c r="N20" s="314"/>
      <c r="O20" s="10" t="s">
        <v>204</v>
      </c>
      <c r="P20" s="10" t="s">
        <v>156</v>
      </c>
      <c r="Q20" s="10" t="s">
        <v>158</v>
      </c>
      <c r="R20" s="10" t="s">
        <v>159</v>
      </c>
      <c r="S20" s="315"/>
      <c r="T20" s="316"/>
      <c r="U20" s="316"/>
      <c r="V20" s="316"/>
      <c r="W20" s="316"/>
      <c r="X20" s="317"/>
      <c r="Y20" s="340">
        <f>ROUND(PRİMVEHİZBEL!X18*7.5/100,2)</f>
        <v>1990.98</v>
      </c>
      <c r="Z20" s="341"/>
      <c r="AA20" s="341"/>
      <c r="AB20" s="341"/>
      <c r="AC20" s="341"/>
      <c r="AD20" s="342"/>
      <c r="AE20" s="466" t="s">
        <v>223</v>
      </c>
      <c r="AF20" s="467"/>
      <c r="AG20" s="467"/>
      <c r="AH20" s="467"/>
      <c r="AI20" s="467"/>
      <c r="AJ20" s="467"/>
      <c r="AK20" s="467"/>
      <c r="AL20" s="468"/>
      <c r="AM20" s="324">
        <f>Y20+Y21</f>
        <v>3318.3</v>
      </c>
      <c r="AN20" s="325"/>
      <c r="AO20" s="325"/>
      <c r="AP20" s="325"/>
    </row>
    <row r="21" spans="1:42" ht="12.75" customHeight="1" x14ac:dyDescent="0.2">
      <c r="A21" s="311">
        <v>361</v>
      </c>
      <c r="B21" s="312"/>
      <c r="C21" s="312"/>
      <c r="D21" s="313"/>
      <c r="E21" s="9"/>
      <c r="F21" s="9"/>
      <c r="G21" s="9"/>
      <c r="H21" s="9"/>
      <c r="I21" s="9"/>
      <c r="J21" s="9"/>
      <c r="K21" s="9"/>
      <c r="L21" s="9"/>
      <c r="M21" s="314"/>
      <c r="N21" s="314"/>
      <c r="O21" s="10" t="s">
        <v>204</v>
      </c>
      <c r="P21" s="10" t="s">
        <v>156</v>
      </c>
      <c r="Q21" s="10" t="s">
        <v>156</v>
      </c>
      <c r="R21" s="10" t="s">
        <v>158</v>
      </c>
      <c r="S21" s="315"/>
      <c r="T21" s="316"/>
      <c r="U21" s="316"/>
      <c r="V21" s="316"/>
      <c r="W21" s="316"/>
      <c r="X21" s="317"/>
      <c r="Y21" s="340">
        <f>PRİMVEHİZBEL!AK20-'ÖDEME EMRİ'!Y20:AD20</f>
        <v>1327.3200000000002</v>
      </c>
      <c r="Z21" s="341"/>
      <c r="AA21" s="341"/>
      <c r="AB21" s="341"/>
      <c r="AC21" s="341"/>
      <c r="AD21" s="342"/>
      <c r="AE21" s="466" t="s">
        <v>239</v>
      </c>
      <c r="AF21" s="467"/>
      <c r="AG21" s="467"/>
      <c r="AH21" s="467"/>
      <c r="AI21" s="467"/>
      <c r="AJ21" s="467"/>
      <c r="AK21" s="467"/>
      <c r="AL21" s="468"/>
      <c r="AM21" s="326"/>
      <c r="AN21" s="325"/>
      <c r="AO21" s="325"/>
      <c r="AP21" s="325"/>
    </row>
    <row r="22" spans="1:42" ht="12.75" customHeight="1" x14ac:dyDescent="0.2">
      <c r="A22" s="311">
        <v>361</v>
      </c>
      <c r="B22" s="312"/>
      <c r="C22" s="312"/>
      <c r="D22" s="313"/>
      <c r="E22" s="9"/>
      <c r="F22" s="9"/>
      <c r="G22" s="9"/>
      <c r="H22" s="9"/>
      <c r="I22" s="9"/>
      <c r="J22" s="9"/>
      <c r="K22" s="9"/>
      <c r="L22" s="9"/>
      <c r="M22" s="314"/>
      <c r="N22" s="314"/>
      <c r="O22" s="10" t="s">
        <v>204</v>
      </c>
      <c r="P22" s="10" t="s">
        <v>156</v>
      </c>
      <c r="Q22" s="10" t="s">
        <v>158</v>
      </c>
      <c r="R22" s="10" t="s">
        <v>158</v>
      </c>
      <c r="S22" s="315"/>
      <c r="T22" s="316"/>
      <c r="U22" s="316"/>
      <c r="V22" s="316"/>
      <c r="W22" s="316"/>
      <c r="X22" s="317"/>
      <c r="Y22" s="469">
        <f>PRİMVEHİZBEL!AK18</f>
        <v>530.92999999999995</v>
      </c>
      <c r="Z22" s="470"/>
      <c r="AA22" s="470"/>
      <c r="AB22" s="470"/>
      <c r="AC22" s="470"/>
      <c r="AD22" s="471"/>
      <c r="AE22" s="472" t="s">
        <v>224</v>
      </c>
      <c r="AF22" s="473"/>
      <c r="AG22" s="473"/>
      <c r="AH22" s="473"/>
      <c r="AI22" s="473"/>
      <c r="AJ22" s="473"/>
      <c r="AK22" s="473"/>
      <c r="AL22" s="474"/>
      <c r="AM22" s="327"/>
      <c r="AN22" s="328"/>
      <c r="AO22" s="328"/>
      <c r="AP22" s="328"/>
    </row>
    <row r="23" spans="1:42" ht="12.75" customHeight="1" x14ac:dyDescent="0.2">
      <c r="A23" s="311"/>
      <c r="B23" s="312"/>
      <c r="C23" s="312"/>
      <c r="D23" s="313"/>
      <c r="E23" s="9"/>
      <c r="F23" s="9"/>
      <c r="G23" s="9"/>
      <c r="H23" s="9"/>
      <c r="I23" s="9"/>
      <c r="J23" s="9"/>
      <c r="K23" s="9"/>
      <c r="L23" s="9"/>
      <c r="M23" s="314"/>
      <c r="N23" s="314"/>
      <c r="O23" s="10"/>
      <c r="P23" s="10"/>
      <c r="Q23" s="10"/>
      <c r="R23" s="10"/>
      <c r="S23" s="315"/>
      <c r="T23" s="316"/>
      <c r="U23" s="316"/>
      <c r="V23" s="316"/>
      <c r="W23" s="316"/>
      <c r="X23" s="317"/>
      <c r="Y23" s="315">
        <f>SUM(Y18:Y22)</f>
        <v>9158.52</v>
      </c>
      <c r="Z23" s="316"/>
      <c r="AA23" s="316"/>
      <c r="AB23" s="316"/>
      <c r="AC23" s="316"/>
      <c r="AD23" s="317"/>
      <c r="AE23" s="318" t="s">
        <v>207</v>
      </c>
      <c r="AF23" s="319"/>
      <c r="AG23" s="319"/>
      <c r="AH23" s="319"/>
      <c r="AI23" s="319"/>
      <c r="AJ23" s="319"/>
      <c r="AK23" s="319"/>
      <c r="AL23" s="320"/>
    </row>
    <row r="24" spans="1:42" ht="12.75" customHeight="1" x14ac:dyDescent="0.2">
      <c r="A24" s="462">
        <v>325</v>
      </c>
      <c r="B24" s="463"/>
      <c r="C24" s="463"/>
      <c r="D24" s="464"/>
      <c r="E24" s="38"/>
      <c r="F24" s="38"/>
      <c r="G24" s="38"/>
      <c r="H24" s="38"/>
      <c r="I24" s="38"/>
      <c r="J24" s="38"/>
      <c r="K24" s="38"/>
      <c r="L24" s="38"/>
      <c r="M24" s="465"/>
      <c r="N24" s="465"/>
      <c r="O24" s="27"/>
      <c r="P24" s="27"/>
      <c r="Q24" s="27"/>
      <c r="R24" s="27"/>
      <c r="S24" s="475"/>
      <c r="T24" s="476"/>
      <c r="U24" s="476"/>
      <c r="V24" s="476"/>
      <c r="W24" s="476"/>
      <c r="X24" s="477"/>
      <c r="Y24" s="475">
        <f>BORDRO!AC58</f>
        <v>22829.920000000002</v>
      </c>
      <c r="Z24" s="476"/>
      <c r="AA24" s="476"/>
      <c r="AB24" s="476"/>
      <c r="AC24" s="476"/>
      <c r="AD24" s="477"/>
      <c r="AE24" s="459" t="s">
        <v>191</v>
      </c>
      <c r="AF24" s="460"/>
      <c r="AG24" s="460"/>
      <c r="AH24" s="460"/>
      <c r="AI24" s="460"/>
      <c r="AJ24" s="460"/>
      <c r="AK24" s="460"/>
      <c r="AL24" s="461"/>
    </row>
    <row r="25" spans="1:42" s="41" customFormat="1" ht="12.75" customHeight="1" x14ac:dyDescent="0.2">
      <c r="A25" s="344"/>
      <c r="B25" s="345"/>
      <c r="C25" s="345"/>
      <c r="D25" s="346"/>
      <c r="E25" s="28"/>
      <c r="F25" s="28"/>
      <c r="G25" s="28"/>
      <c r="H25" s="28"/>
      <c r="I25" s="28"/>
      <c r="J25" s="28"/>
      <c r="K25" s="28"/>
      <c r="L25" s="28"/>
      <c r="M25" s="390"/>
      <c r="N25" s="390"/>
      <c r="O25" s="40"/>
      <c r="P25" s="40"/>
      <c r="Q25" s="40"/>
      <c r="R25" s="40"/>
      <c r="S25" s="357"/>
      <c r="T25" s="358"/>
      <c r="U25" s="358"/>
      <c r="V25" s="358"/>
      <c r="W25" s="358"/>
      <c r="X25" s="359"/>
      <c r="Y25" s="391"/>
      <c r="Z25" s="392"/>
      <c r="AA25" s="392"/>
      <c r="AB25" s="392"/>
      <c r="AC25" s="392"/>
      <c r="AD25" s="393"/>
      <c r="AE25" s="360"/>
      <c r="AF25" s="361"/>
      <c r="AG25" s="361"/>
      <c r="AH25" s="361"/>
      <c r="AI25" s="361"/>
      <c r="AJ25" s="361"/>
      <c r="AK25" s="361"/>
      <c r="AL25" s="362"/>
    </row>
    <row r="26" spans="1:42" s="41" customFormat="1" ht="12.75" customHeight="1" x14ac:dyDescent="0.2">
      <c r="A26" s="344"/>
      <c r="B26" s="345"/>
      <c r="C26" s="345"/>
      <c r="D26" s="346"/>
      <c r="E26" s="39"/>
      <c r="F26" s="39"/>
      <c r="G26" s="39"/>
      <c r="H26" s="39"/>
      <c r="I26" s="39"/>
      <c r="J26" s="39"/>
      <c r="K26" s="39"/>
      <c r="L26" s="39"/>
      <c r="M26" s="347"/>
      <c r="N26" s="347"/>
      <c r="O26" s="40"/>
      <c r="P26" s="40"/>
      <c r="Q26" s="40"/>
      <c r="R26" s="40"/>
      <c r="S26" s="357"/>
      <c r="T26" s="358"/>
      <c r="U26" s="358"/>
      <c r="V26" s="358"/>
      <c r="W26" s="358"/>
      <c r="X26" s="359"/>
      <c r="Y26" s="357"/>
      <c r="Z26" s="358"/>
      <c r="AA26" s="358"/>
      <c r="AB26" s="358"/>
      <c r="AC26" s="358"/>
      <c r="AD26" s="359"/>
      <c r="AE26" s="360"/>
      <c r="AF26" s="361"/>
      <c r="AG26" s="361"/>
      <c r="AH26" s="361"/>
      <c r="AI26" s="361"/>
      <c r="AJ26" s="361"/>
      <c r="AK26" s="361"/>
      <c r="AL26" s="362"/>
    </row>
    <row r="27" spans="1:42" s="41" customFormat="1" ht="12.75" customHeight="1" x14ac:dyDescent="0.2">
      <c r="A27" s="344"/>
      <c r="B27" s="345"/>
      <c r="C27" s="345"/>
      <c r="D27" s="346"/>
      <c r="E27" s="39"/>
      <c r="F27" s="39"/>
      <c r="G27" s="39"/>
      <c r="H27" s="39"/>
      <c r="I27" s="39"/>
      <c r="J27" s="39"/>
      <c r="K27" s="39"/>
      <c r="L27" s="39"/>
      <c r="M27" s="347"/>
      <c r="N27" s="347"/>
      <c r="O27" s="40"/>
      <c r="P27" s="40"/>
      <c r="Q27" s="40"/>
      <c r="R27" s="40"/>
      <c r="S27" s="357"/>
      <c r="T27" s="358"/>
      <c r="U27" s="358"/>
      <c r="V27" s="358"/>
      <c r="W27" s="358"/>
      <c r="X27" s="359"/>
      <c r="Y27" s="357"/>
      <c r="Z27" s="358"/>
      <c r="AA27" s="358"/>
      <c r="AB27" s="358"/>
      <c r="AC27" s="358"/>
      <c r="AD27" s="359"/>
      <c r="AE27" s="360"/>
      <c r="AF27" s="361"/>
      <c r="AG27" s="361"/>
      <c r="AH27" s="361"/>
      <c r="AI27" s="361"/>
      <c r="AJ27" s="361"/>
      <c r="AK27" s="361"/>
      <c r="AL27" s="362"/>
    </row>
    <row r="28" spans="1:42" s="41" customFormat="1" ht="12.75" customHeight="1" x14ac:dyDescent="0.2">
      <c r="A28" s="344"/>
      <c r="B28" s="345"/>
      <c r="C28" s="345"/>
      <c r="D28" s="346"/>
      <c r="E28" s="39"/>
      <c r="F28" s="39"/>
      <c r="G28" s="39"/>
      <c r="H28" s="39"/>
      <c r="I28" s="39"/>
      <c r="J28" s="39"/>
      <c r="K28" s="39"/>
      <c r="L28" s="39"/>
      <c r="M28" s="347"/>
      <c r="N28" s="347"/>
      <c r="O28" s="40"/>
      <c r="P28" s="40"/>
      <c r="Q28" s="40"/>
      <c r="R28" s="40"/>
      <c r="S28" s="357"/>
      <c r="T28" s="358"/>
      <c r="U28" s="358"/>
      <c r="V28" s="358"/>
      <c r="W28" s="358"/>
      <c r="X28" s="359"/>
      <c r="Y28" s="357"/>
      <c r="Z28" s="358"/>
      <c r="AA28" s="358"/>
      <c r="AB28" s="358"/>
      <c r="AC28" s="358"/>
      <c r="AD28" s="359"/>
      <c r="AE28" s="360"/>
      <c r="AF28" s="361"/>
      <c r="AG28" s="361"/>
      <c r="AH28" s="361"/>
      <c r="AI28" s="361"/>
      <c r="AJ28" s="361"/>
      <c r="AK28" s="361"/>
      <c r="AL28" s="362"/>
    </row>
    <row r="29" spans="1:42" ht="12.75" customHeight="1" x14ac:dyDescent="0.2">
      <c r="A29" s="311"/>
      <c r="B29" s="312"/>
      <c r="C29" s="312"/>
      <c r="D29" s="313"/>
      <c r="E29" s="9"/>
      <c r="F29" s="9"/>
      <c r="G29" s="9"/>
      <c r="H29" s="9"/>
      <c r="I29" s="9"/>
      <c r="J29" s="9"/>
      <c r="K29" s="9"/>
      <c r="L29" s="9"/>
      <c r="M29" s="314"/>
      <c r="N29" s="314"/>
      <c r="O29" s="10"/>
      <c r="P29" s="10"/>
      <c r="Q29" s="10"/>
      <c r="R29" s="10"/>
      <c r="S29" s="315"/>
      <c r="T29" s="316"/>
      <c r="U29" s="316"/>
      <c r="V29" s="316"/>
      <c r="W29" s="316"/>
      <c r="X29" s="317"/>
      <c r="Y29" s="315"/>
      <c r="Z29" s="316"/>
      <c r="AA29" s="316"/>
      <c r="AB29" s="316"/>
      <c r="AC29" s="316"/>
      <c r="AD29" s="317"/>
      <c r="AE29" s="360"/>
      <c r="AF29" s="361"/>
      <c r="AG29" s="361"/>
      <c r="AH29" s="361"/>
      <c r="AI29" s="361"/>
      <c r="AJ29" s="361"/>
      <c r="AK29" s="361"/>
      <c r="AL29" s="362"/>
    </row>
    <row r="30" spans="1:42" ht="12.75" customHeight="1" x14ac:dyDescent="0.2">
      <c r="A30" s="311"/>
      <c r="B30" s="312"/>
      <c r="C30" s="312"/>
      <c r="D30" s="313"/>
      <c r="E30" s="9"/>
      <c r="F30" s="9"/>
      <c r="G30" s="9"/>
      <c r="H30" s="9"/>
      <c r="I30" s="9"/>
      <c r="J30" s="9"/>
      <c r="K30" s="9"/>
      <c r="L30" s="9"/>
      <c r="M30" s="314"/>
      <c r="N30" s="314"/>
      <c r="O30" s="10"/>
      <c r="P30" s="10"/>
      <c r="Q30" s="10"/>
      <c r="R30" s="10"/>
      <c r="S30" s="315"/>
      <c r="T30" s="316"/>
      <c r="U30" s="316"/>
      <c r="V30" s="316"/>
      <c r="W30" s="316"/>
      <c r="X30" s="317"/>
      <c r="Y30" s="315"/>
      <c r="Z30" s="316"/>
      <c r="AA30" s="316"/>
      <c r="AB30" s="316"/>
      <c r="AC30" s="316"/>
      <c r="AD30" s="317"/>
      <c r="AE30" s="318"/>
      <c r="AF30" s="319"/>
      <c r="AG30" s="319"/>
      <c r="AH30" s="319"/>
      <c r="AI30" s="319"/>
      <c r="AJ30" s="319"/>
      <c r="AK30" s="319"/>
      <c r="AL30" s="320"/>
    </row>
    <row r="31" spans="1:42" ht="12.75" customHeight="1" x14ac:dyDescent="0.2">
      <c r="A31" s="394"/>
      <c r="B31" s="395"/>
      <c r="C31" s="395"/>
      <c r="D31" s="396"/>
      <c r="E31" s="28"/>
      <c r="F31" s="28"/>
      <c r="G31" s="28"/>
      <c r="H31" s="28"/>
      <c r="I31" s="28"/>
      <c r="J31" s="28"/>
      <c r="K31" s="28"/>
      <c r="L31" s="28"/>
      <c r="M31" s="390"/>
      <c r="N31" s="390"/>
      <c r="O31" s="29"/>
      <c r="P31" s="29"/>
      <c r="Q31" s="29"/>
      <c r="R31" s="29"/>
      <c r="S31" s="391"/>
      <c r="T31" s="392"/>
      <c r="U31" s="392"/>
      <c r="V31" s="392"/>
      <c r="W31" s="392"/>
      <c r="X31" s="393"/>
      <c r="Y31" s="391"/>
      <c r="Z31" s="392"/>
      <c r="AA31" s="392"/>
      <c r="AB31" s="392"/>
      <c r="AC31" s="392"/>
      <c r="AD31" s="393"/>
      <c r="AE31" s="383"/>
      <c r="AF31" s="384"/>
      <c r="AG31" s="384"/>
      <c r="AH31" s="384"/>
      <c r="AI31" s="384"/>
      <c r="AJ31" s="384"/>
      <c r="AK31" s="384"/>
      <c r="AL31" s="385"/>
    </row>
    <row r="32" spans="1:42" ht="12.75" customHeight="1" x14ac:dyDescent="0.2">
      <c r="A32" s="394"/>
      <c r="B32" s="395"/>
      <c r="C32" s="395"/>
      <c r="D32" s="396"/>
      <c r="E32" s="28"/>
      <c r="F32" s="28"/>
      <c r="G32" s="28"/>
      <c r="H32" s="28"/>
      <c r="I32" s="28"/>
      <c r="J32" s="28"/>
      <c r="K32" s="28"/>
      <c r="L32" s="28"/>
      <c r="M32" s="390"/>
      <c r="N32" s="390"/>
      <c r="O32" s="29"/>
      <c r="P32" s="29"/>
      <c r="Q32" s="29"/>
      <c r="R32" s="29"/>
      <c r="S32" s="391"/>
      <c r="T32" s="392"/>
      <c r="U32" s="392"/>
      <c r="V32" s="392"/>
      <c r="W32" s="392"/>
      <c r="X32" s="393"/>
      <c r="Y32" s="391"/>
      <c r="Z32" s="392"/>
      <c r="AA32" s="392"/>
      <c r="AB32" s="392"/>
      <c r="AC32" s="392"/>
      <c r="AD32" s="393"/>
      <c r="AE32" s="383"/>
      <c r="AF32" s="384"/>
      <c r="AG32" s="384"/>
      <c r="AH32" s="384"/>
      <c r="AI32" s="384"/>
      <c r="AJ32" s="384"/>
      <c r="AK32" s="384"/>
      <c r="AL32" s="385"/>
    </row>
    <row r="33" spans="1:38" ht="12.75" customHeight="1" x14ac:dyDescent="0.2">
      <c r="A33" s="398" t="s">
        <v>144</v>
      </c>
      <c r="B33" s="399"/>
      <c r="C33" s="399"/>
      <c r="D33" s="399"/>
      <c r="E33" s="399"/>
      <c r="F33" s="399"/>
      <c r="G33" s="399"/>
      <c r="H33" s="399"/>
      <c r="I33" s="399"/>
      <c r="J33" s="399"/>
      <c r="K33" s="399"/>
      <c r="L33" s="399"/>
      <c r="M33" s="399"/>
      <c r="N33" s="399"/>
      <c r="O33" s="399"/>
      <c r="P33" s="399"/>
      <c r="Q33" s="399"/>
      <c r="R33" s="400"/>
      <c r="S33" s="401">
        <f>SUM(S12:S32)</f>
        <v>31988.54</v>
      </c>
      <c r="T33" s="402"/>
      <c r="U33" s="402"/>
      <c r="V33" s="402"/>
      <c r="W33" s="402"/>
      <c r="X33" s="403"/>
      <c r="Y33" s="401">
        <f>SUM(Y12:Y32)-Y23</f>
        <v>31988.440000000006</v>
      </c>
      <c r="Z33" s="402"/>
      <c r="AA33" s="402"/>
      <c r="AB33" s="402"/>
      <c r="AC33" s="402"/>
      <c r="AD33" s="403"/>
      <c r="AE33" s="318"/>
      <c r="AF33" s="319"/>
      <c r="AG33" s="319"/>
      <c r="AH33" s="319"/>
      <c r="AI33" s="319"/>
      <c r="AJ33" s="319"/>
      <c r="AK33" s="319"/>
      <c r="AL33" s="320"/>
    </row>
    <row r="34" spans="1:38" ht="12.75" customHeight="1" x14ac:dyDescent="0.2">
      <c r="A34" s="398" t="s">
        <v>145</v>
      </c>
      <c r="B34" s="399"/>
      <c r="C34" s="399"/>
      <c r="D34" s="399"/>
      <c r="E34" s="399"/>
      <c r="F34" s="399"/>
      <c r="G34" s="399"/>
      <c r="H34" s="399"/>
      <c r="I34" s="399"/>
      <c r="J34" s="399"/>
      <c r="K34" s="399"/>
      <c r="L34" s="399"/>
      <c r="M34" s="399"/>
      <c r="N34" s="399"/>
      <c r="O34" s="399"/>
      <c r="P34" s="399"/>
      <c r="Q34" s="399"/>
      <c r="R34" s="400"/>
      <c r="S34" s="401">
        <f>S12+S13</f>
        <v>31988.54</v>
      </c>
      <c r="T34" s="402"/>
      <c r="U34" s="402"/>
      <c r="V34" s="402"/>
      <c r="W34" s="402"/>
      <c r="X34" s="403"/>
      <c r="Y34" s="401"/>
      <c r="Z34" s="402"/>
      <c r="AA34" s="402"/>
      <c r="AB34" s="402"/>
      <c r="AC34" s="402"/>
      <c r="AD34" s="403"/>
      <c r="AE34" s="318"/>
      <c r="AF34" s="319"/>
      <c r="AG34" s="319"/>
      <c r="AH34" s="319"/>
      <c r="AI34" s="319"/>
      <c r="AJ34" s="319"/>
      <c r="AK34" s="319"/>
      <c r="AL34" s="320"/>
    </row>
    <row r="35" spans="1:38" ht="9" customHeight="1" x14ac:dyDescent="0.2"/>
    <row r="36" spans="1:38" x14ac:dyDescent="0.2">
      <c r="A36" s="368" t="s">
        <v>47</v>
      </c>
      <c r="B36" s="368"/>
      <c r="C36" s="368"/>
      <c r="D36" s="368"/>
      <c r="E36" s="404" t="str">
        <f>SAYFA!A25</f>
        <v>//beşbinaltıyüz TL ellisekiz Kuruş//</v>
      </c>
      <c r="F36" s="404"/>
      <c r="G36" s="404"/>
      <c r="H36" s="404"/>
      <c r="I36" s="404"/>
      <c r="J36" s="404"/>
      <c r="K36" s="404"/>
      <c r="L36" s="404"/>
      <c r="M36" s="404"/>
      <c r="N36" s="404"/>
      <c r="O36" s="404"/>
      <c r="P36" s="404"/>
      <c r="Q36" s="404"/>
      <c r="R36" s="404"/>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32" t="s">
        <v>147</v>
      </c>
      <c r="B38" s="338"/>
      <c r="C38" s="338"/>
      <c r="D38" s="333"/>
      <c r="E38" s="332" t="s">
        <v>148</v>
      </c>
      <c r="F38" s="338"/>
      <c r="G38" s="338"/>
      <c r="H38" s="333"/>
      <c r="I38" s="332" t="s">
        <v>194</v>
      </c>
      <c r="J38" s="338"/>
      <c r="K38" s="338"/>
      <c r="L38" s="333"/>
      <c r="M38" s="332" t="s">
        <v>48</v>
      </c>
      <c r="N38" s="338"/>
      <c r="O38" s="338"/>
      <c r="P38" s="333"/>
      <c r="Q38" s="332" t="s">
        <v>49</v>
      </c>
      <c r="R38" s="338"/>
      <c r="S38" s="338"/>
      <c r="T38" s="333"/>
      <c r="U38" s="386" t="s">
        <v>149</v>
      </c>
      <c r="V38" s="386"/>
      <c r="W38" s="386"/>
      <c r="X38" s="386"/>
      <c r="AA38" s="387" t="s">
        <v>150</v>
      </c>
      <c r="AB38" s="387"/>
      <c r="AC38" s="387"/>
      <c r="AD38" s="387"/>
      <c r="AE38" s="387"/>
      <c r="AF38" s="387"/>
      <c r="AG38" s="387"/>
      <c r="AH38" s="387"/>
      <c r="AI38" s="387"/>
      <c r="AJ38" s="387"/>
      <c r="AK38" s="387"/>
    </row>
    <row r="39" spans="1:38" ht="11.45" customHeight="1" x14ac:dyDescent="0.2">
      <c r="A39" s="334"/>
      <c r="B39" s="339"/>
      <c r="C39" s="339"/>
      <c r="D39" s="335"/>
      <c r="E39" s="334"/>
      <c r="F39" s="339"/>
      <c r="G39" s="339"/>
      <c r="H39" s="335"/>
      <c r="I39" s="334"/>
      <c r="J39" s="339"/>
      <c r="K39" s="339"/>
      <c r="L39" s="335"/>
      <c r="M39" s="334"/>
      <c r="N39" s="339"/>
      <c r="O39" s="339"/>
      <c r="P39" s="335"/>
      <c r="Q39" s="334"/>
      <c r="R39" s="339"/>
      <c r="S39" s="339"/>
      <c r="T39" s="335"/>
      <c r="U39" s="386"/>
      <c r="V39" s="386"/>
      <c r="W39" s="386"/>
      <c r="X39" s="386"/>
      <c r="AA39" s="388">
        <f ca="1">TODAY()</f>
        <v>44678</v>
      </c>
      <c r="AB39" s="387"/>
      <c r="AC39" s="387"/>
      <c r="AD39" s="387"/>
      <c r="AE39" s="387"/>
      <c r="AF39" s="387"/>
      <c r="AG39" s="387"/>
      <c r="AH39" s="387"/>
      <c r="AI39" s="387"/>
      <c r="AJ39" s="387"/>
      <c r="AK39" s="387"/>
    </row>
    <row r="40" spans="1:38" ht="22.5" customHeight="1" x14ac:dyDescent="0.2">
      <c r="A40" s="410"/>
      <c r="B40" s="411"/>
      <c r="C40" s="411"/>
      <c r="D40" s="412"/>
      <c r="E40" s="416">
        <f>S12+S13</f>
        <v>31988.54</v>
      </c>
      <c r="F40" s="417"/>
      <c r="G40" s="417"/>
      <c r="H40" s="417"/>
      <c r="I40" s="389">
        <f>S14</f>
        <v>0</v>
      </c>
      <c r="J40" s="389"/>
      <c r="K40" s="389"/>
      <c r="L40" s="389"/>
      <c r="M40" s="389">
        <f>BORDRO!AA58</f>
        <v>9158.619999999999</v>
      </c>
      <c r="N40" s="389"/>
      <c r="O40" s="389"/>
      <c r="P40" s="389"/>
      <c r="Q40" s="389">
        <f>(E40+I40)-M40</f>
        <v>22829.920000000002</v>
      </c>
      <c r="R40" s="389"/>
      <c r="S40" s="389"/>
      <c r="T40" s="389"/>
      <c r="U40" s="397"/>
      <c r="V40" s="397"/>
      <c r="W40" s="397"/>
      <c r="X40" s="397"/>
      <c r="AA40" s="408"/>
      <c r="AB40" s="408"/>
      <c r="AC40" s="408"/>
      <c r="AD40" s="408"/>
      <c r="AE40" s="408"/>
      <c r="AF40" s="408"/>
      <c r="AG40" s="408"/>
      <c r="AH40" s="408"/>
      <c r="AI40" s="408"/>
      <c r="AJ40" s="408"/>
      <c r="AK40" s="408"/>
    </row>
    <row r="41" spans="1:38" ht="11.45" customHeight="1" x14ac:dyDescent="0.2">
      <c r="A41" s="413"/>
      <c r="B41" s="414"/>
      <c r="C41" s="414"/>
      <c r="D41" s="415"/>
      <c r="E41" s="418"/>
      <c r="F41" s="419"/>
      <c r="G41" s="419"/>
      <c r="H41" s="419"/>
      <c r="I41" s="389"/>
      <c r="J41" s="389"/>
      <c r="K41" s="389"/>
      <c r="L41" s="389"/>
      <c r="M41" s="389"/>
      <c r="N41" s="389"/>
      <c r="O41" s="389"/>
      <c r="P41" s="389"/>
      <c r="Q41" s="389"/>
      <c r="R41" s="389"/>
      <c r="S41" s="389"/>
      <c r="T41" s="389"/>
      <c r="U41" s="397"/>
      <c r="V41" s="397"/>
      <c r="W41" s="397"/>
      <c r="X41" s="397"/>
      <c r="AA41" s="408"/>
      <c r="AB41" s="408"/>
      <c r="AC41" s="408"/>
      <c r="AD41" s="408"/>
      <c r="AE41" s="408"/>
      <c r="AF41" s="408"/>
      <c r="AG41" s="408"/>
      <c r="AH41" s="408"/>
      <c r="AI41" s="408"/>
      <c r="AJ41" s="408"/>
      <c r="AK41" s="408"/>
    </row>
    <row r="42" spans="1:38" ht="11.45" customHeight="1" x14ac:dyDescent="0.2">
      <c r="A42" s="405" t="s">
        <v>50</v>
      </c>
      <c r="B42" s="406"/>
      <c r="C42" s="406"/>
      <c r="D42" s="406"/>
      <c r="E42" s="406"/>
      <c r="F42" s="406"/>
      <c r="G42" s="406"/>
      <c r="H42" s="406"/>
      <c r="I42" s="406"/>
      <c r="J42" s="406"/>
      <c r="K42" s="406"/>
      <c r="L42" s="406"/>
      <c r="M42" s="406"/>
      <c r="N42" s="406"/>
      <c r="O42" s="406"/>
      <c r="P42" s="406"/>
      <c r="Q42" s="406"/>
      <c r="R42" s="407"/>
      <c r="S42" s="32"/>
      <c r="T42" s="32"/>
      <c r="U42" s="33"/>
      <c r="V42" s="33"/>
      <c r="W42" s="33"/>
      <c r="X42" s="33"/>
    </row>
    <row r="43" spans="1:38" x14ac:dyDescent="0.2">
      <c r="A43" s="409" t="s">
        <v>51</v>
      </c>
      <c r="B43" s="409"/>
      <c r="C43" s="409"/>
      <c r="D43" s="409"/>
      <c r="E43" s="409"/>
      <c r="F43" s="409" t="s">
        <v>52</v>
      </c>
      <c r="G43" s="409"/>
      <c r="H43" s="409"/>
      <c r="I43" s="409"/>
      <c r="J43" s="409"/>
      <c r="K43" s="409"/>
      <c r="L43" s="409" t="s">
        <v>151</v>
      </c>
      <c r="M43" s="409"/>
      <c r="N43" s="409"/>
      <c r="O43" s="409"/>
      <c r="P43" s="409"/>
      <c r="Q43" s="409"/>
      <c r="R43" s="409"/>
      <c r="S43" s="405" t="s">
        <v>53</v>
      </c>
      <c r="T43" s="406"/>
      <c r="U43" s="406"/>
      <c r="V43" s="406"/>
      <c r="W43" s="406"/>
      <c r="X43" s="406"/>
      <c r="Y43" s="406"/>
      <c r="Z43" s="406"/>
      <c r="AA43" s="406"/>
      <c r="AB43" s="406"/>
      <c r="AC43" s="406"/>
      <c r="AD43" s="406"/>
      <c r="AE43" s="406"/>
      <c r="AF43" s="406"/>
      <c r="AG43" s="406"/>
      <c r="AH43" s="406"/>
      <c r="AI43" s="406"/>
      <c r="AJ43" s="406"/>
      <c r="AK43" s="406"/>
      <c r="AL43" s="407"/>
    </row>
    <row r="44" spans="1:38" x14ac:dyDescent="0.2">
      <c r="A44" s="343"/>
      <c r="B44" s="343"/>
      <c r="C44" s="343"/>
      <c r="D44" s="343"/>
      <c r="E44" s="343"/>
      <c r="F44" s="343"/>
      <c r="G44" s="343"/>
      <c r="H44" s="343"/>
      <c r="I44" s="343"/>
      <c r="J44" s="343"/>
      <c r="K44" s="343"/>
      <c r="L44" s="343"/>
      <c r="M44" s="343"/>
      <c r="N44" s="343"/>
      <c r="O44" s="343"/>
      <c r="P44" s="343"/>
      <c r="Q44" s="343"/>
      <c r="R44" s="343"/>
      <c r="S44" s="34"/>
      <c r="T44" s="382" t="s">
        <v>58</v>
      </c>
      <c r="U44" s="382"/>
      <c r="V44" s="382"/>
      <c r="W44" s="382"/>
      <c r="X44" s="382"/>
      <c r="Y44" s="382"/>
      <c r="Z44" s="382"/>
      <c r="AA44" s="382"/>
      <c r="AB44" s="382"/>
      <c r="AC44" s="382"/>
      <c r="AD44" s="382"/>
      <c r="AE44" s="382"/>
      <c r="AF44" s="382"/>
      <c r="AG44" s="382"/>
      <c r="AH44" s="382"/>
      <c r="AI44" s="382"/>
      <c r="AJ44" s="382"/>
      <c r="AK44" s="2"/>
      <c r="AL44" s="3"/>
    </row>
    <row r="45" spans="1:38" x14ac:dyDescent="0.2">
      <c r="A45" s="343"/>
      <c r="B45" s="343"/>
      <c r="C45" s="343"/>
      <c r="D45" s="343"/>
      <c r="E45" s="343"/>
      <c r="F45" s="343"/>
      <c r="G45" s="343"/>
      <c r="H45" s="343"/>
      <c r="I45" s="343"/>
      <c r="J45" s="343"/>
      <c r="K45" s="343"/>
      <c r="L45" s="343"/>
      <c r="M45" s="343"/>
      <c r="N45" s="343"/>
      <c r="O45" s="343"/>
      <c r="P45" s="343"/>
      <c r="Q45" s="343"/>
      <c r="R45" s="343"/>
      <c r="S45" s="35"/>
      <c r="T45" s="382" t="s">
        <v>210</v>
      </c>
      <c r="U45" s="382"/>
      <c r="V45" s="382"/>
      <c r="W45" s="382"/>
      <c r="X45" s="382"/>
      <c r="Y45" s="382"/>
      <c r="Z45" s="382"/>
      <c r="AA45" s="382"/>
      <c r="AB45" s="382"/>
      <c r="AC45" s="382"/>
      <c r="AD45" s="382"/>
      <c r="AE45" s="382"/>
      <c r="AF45" s="382"/>
      <c r="AG45" s="382"/>
      <c r="AH45" s="382"/>
      <c r="AI45" s="382"/>
      <c r="AJ45" s="382"/>
      <c r="AK45" s="36"/>
      <c r="AL45" s="37"/>
    </row>
    <row r="46" spans="1:38" x14ac:dyDescent="0.2">
      <c r="A46" s="405" t="s">
        <v>54</v>
      </c>
      <c r="B46" s="406"/>
      <c r="C46" s="406"/>
      <c r="D46" s="406"/>
      <c r="E46" s="406"/>
      <c r="F46" s="406"/>
      <c r="G46" s="406"/>
      <c r="H46" s="406"/>
      <c r="I46" s="406"/>
      <c r="J46" s="406"/>
      <c r="K46" s="406"/>
      <c r="L46" s="406"/>
      <c r="M46" s="406"/>
      <c r="N46" s="406"/>
      <c r="O46" s="406"/>
      <c r="P46" s="406"/>
      <c r="Q46" s="406"/>
      <c r="R46" s="407"/>
      <c r="S46" s="35"/>
      <c r="T46" s="382" t="s">
        <v>211</v>
      </c>
      <c r="U46" s="382"/>
      <c r="V46" s="382"/>
      <c r="W46" s="382"/>
      <c r="X46" s="382"/>
      <c r="Y46" s="382"/>
      <c r="Z46" s="382"/>
      <c r="AA46" s="382"/>
      <c r="AB46" s="382"/>
      <c r="AC46" s="382"/>
      <c r="AD46" s="382"/>
      <c r="AE46" s="382"/>
      <c r="AF46" s="382"/>
      <c r="AG46" s="382"/>
      <c r="AH46" s="382"/>
      <c r="AI46" s="382"/>
      <c r="AJ46" s="382"/>
      <c r="AK46" s="36"/>
      <c r="AL46" s="37"/>
    </row>
    <row r="47" spans="1:38" x14ac:dyDescent="0.2">
      <c r="A47" s="336" t="s">
        <v>55</v>
      </c>
      <c r="B47" s="363"/>
      <c r="C47" s="363"/>
      <c r="D47" s="337"/>
      <c r="E47" s="405" t="s">
        <v>1</v>
      </c>
      <c r="F47" s="406"/>
      <c r="G47" s="406"/>
      <c r="H47" s="406"/>
      <c r="I47" s="405" t="s">
        <v>56</v>
      </c>
      <c r="J47" s="406"/>
      <c r="K47" s="406"/>
      <c r="L47" s="406"/>
      <c r="M47" s="407"/>
      <c r="N47" s="405" t="s">
        <v>2</v>
      </c>
      <c r="O47" s="406"/>
      <c r="P47" s="406"/>
      <c r="Q47" s="406"/>
      <c r="R47" s="407"/>
      <c r="S47" s="35"/>
      <c r="T47" s="382" t="s">
        <v>162</v>
      </c>
      <c r="U47" s="382"/>
      <c r="V47" s="382"/>
      <c r="W47" s="382"/>
      <c r="X47" s="382"/>
      <c r="Y47" s="382"/>
      <c r="Z47" s="382"/>
      <c r="AA47" s="382"/>
      <c r="AB47" s="382"/>
      <c r="AC47" s="382"/>
      <c r="AD47" s="382"/>
      <c r="AE47" s="382"/>
      <c r="AF47" s="382"/>
      <c r="AG47" s="382"/>
      <c r="AH47" s="382"/>
      <c r="AI47" s="382"/>
      <c r="AJ47" s="382"/>
      <c r="AK47" s="36"/>
      <c r="AL47" s="37"/>
    </row>
    <row r="48" spans="1:38" x14ac:dyDescent="0.2">
      <c r="A48" s="424"/>
      <c r="B48" s="425"/>
      <c r="C48" s="425"/>
      <c r="D48" s="426"/>
      <c r="E48" s="424"/>
      <c r="F48" s="425"/>
      <c r="G48" s="425"/>
      <c r="H48" s="425"/>
      <c r="I48" s="424"/>
      <c r="J48" s="425"/>
      <c r="K48" s="425"/>
      <c r="L48" s="425"/>
      <c r="M48" s="426"/>
      <c r="N48" s="424"/>
      <c r="O48" s="425"/>
      <c r="P48" s="425"/>
      <c r="Q48" s="425"/>
      <c r="R48" s="426"/>
      <c r="S48" s="35"/>
      <c r="T48" s="382" t="s">
        <v>212</v>
      </c>
      <c r="U48" s="382"/>
      <c r="V48" s="382"/>
      <c r="W48" s="382"/>
      <c r="X48" s="382"/>
      <c r="Y48" s="382"/>
      <c r="Z48" s="382"/>
      <c r="AA48" s="382"/>
      <c r="AB48" s="382"/>
      <c r="AC48" s="382"/>
      <c r="AD48" s="382"/>
      <c r="AE48" s="382"/>
      <c r="AF48" s="382"/>
      <c r="AG48" s="382"/>
      <c r="AH48" s="382"/>
      <c r="AI48" s="382"/>
      <c r="AJ48" s="382"/>
      <c r="AK48" s="36"/>
      <c r="AL48" s="37"/>
    </row>
    <row r="49" spans="1:38" x14ac:dyDescent="0.2">
      <c r="A49" s="427"/>
      <c r="B49" s="428"/>
      <c r="C49" s="428"/>
      <c r="D49" s="429"/>
      <c r="E49" s="427"/>
      <c r="F49" s="428"/>
      <c r="G49" s="428"/>
      <c r="H49" s="428"/>
      <c r="I49" s="427"/>
      <c r="J49" s="428"/>
      <c r="K49" s="428"/>
      <c r="L49" s="428"/>
      <c r="M49" s="429"/>
      <c r="N49" s="427"/>
      <c r="O49" s="428"/>
      <c r="P49" s="428"/>
      <c r="Q49" s="428"/>
      <c r="R49" s="429"/>
      <c r="S49" s="35"/>
      <c r="T49" s="382"/>
      <c r="U49" s="382"/>
      <c r="V49" s="382"/>
      <c r="W49" s="382"/>
      <c r="X49" s="382"/>
      <c r="Y49" s="382"/>
      <c r="Z49" s="382"/>
      <c r="AA49" s="382"/>
      <c r="AB49" s="382"/>
      <c r="AC49" s="382"/>
      <c r="AD49" s="382"/>
      <c r="AE49" s="382"/>
      <c r="AF49" s="382"/>
      <c r="AG49" s="382"/>
      <c r="AH49" s="382"/>
      <c r="AI49" s="382"/>
      <c r="AJ49" s="382"/>
      <c r="AK49" s="36"/>
      <c r="AL49" s="37"/>
    </row>
    <row r="50" spans="1:38" ht="11.45" customHeight="1" x14ac:dyDescent="0.2">
      <c r="A50" s="430"/>
      <c r="B50" s="431"/>
      <c r="C50" s="431"/>
      <c r="D50" s="431"/>
      <c r="E50" s="431"/>
      <c r="F50" s="431"/>
      <c r="G50" s="431"/>
      <c r="H50" s="431"/>
      <c r="I50" s="431"/>
      <c r="J50" s="431"/>
      <c r="K50" s="431"/>
      <c r="L50" s="431"/>
      <c r="M50" s="432"/>
      <c r="N50" s="430"/>
      <c r="O50" s="431"/>
      <c r="P50" s="431"/>
      <c r="Q50" s="431"/>
      <c r="R50" s="431"/>
      <c r="S50" s="431"/>
      <c r="T50" s="431"/>
      <c r="U50" s="431"/>
      <c r="V50" s="431"/>
      <c r="W50" s="431"/>
      <c r="X50" s="432"/>
      <c r="Y50" s="430"/>
      <c r="Z50" s="431"/>
      <c r="AA50" s="431"/>
      <c r="AB50" s="431"/>
      <c r="AC50" s="431"/>
      <c r="AD50" s="431"/>
      <c r="AE50" s="431"/>
      <c r="AF50" s="431"/>
      <c r="AG50" s="431"/>
      <c r="AH50" s="431"/>
      <c r="AI50" s="431"/>
      <c r="AJ50" s="431"/>
      <c r="AK50" s="431"/>
      <c r="AL50" s="432"/>
    </row>
    <row r="51" spans="1:38" ht="11.45" customHeight="1" x14ac:dyDescent="0.2">
      <c r="A51" s="420"/>
      <c r="B51" s="421"/>
      <c r="C51" s="421"/>
      <c r="D51" s="421"/>
      <c r="E51" s="421"/>
      <c r="F51" s="421"/>
      <c r="G51" s="421"/>
      <c r="H51" s="421"/>
      <c r="I51" s="421"/>
      <c r="J51" s="421"/>
      <c r="K51" s="421"/>
      <c r="L51" s="421"/>
      <c r="M51" s="422"/>
      <c r="N51" s="420" t="s">
        <v>3</v>
      </c>
      <c r="O51" s="421"/>
      <c r="P51" s="421"/>
      <c r="Q51" s="421"/>
      <c r="R51" s="421"/>
      <c r="S51" s="421"/>
      <c r="T51" s="421"/>
      <c r="U51" s="421"/>
      <c r="V51" s="421"/>
      <c r="W51" s="421"/>
      <c r="X51" s="422"/>
      <c r="Y51" s="420" t="s">
        <v>152</v>
      </c>
      <c r="Z51" s="421"/>
      <c r="AA51" s="421"/>
      <c r="AB51" s="421"/>
      <c r="AC51" s="421"/>
      <c r="AD51" s="421"/>
      <c r="AE51" s="421"/>
      <c r="AF51" s="421"/>
      <c r="AG51" s="421"/>
      <c r="AH51" s="421"/>
      <c r="AI51" s="421"/>
      <c r="AJ51" s="421"/>
      <c r="AK51" s="421"/>
      <c r="AL51" s="422"/>
    </row>
    <row r="52" spans="1:38" ht="11.45" customHeight="1" x14ac:dyDescent="0.2">
      <c r="A52" s="420" t="str">
        <f>Y52</f>
        <v>……/……./2016</v>
      </c>
      <c r="B52" s="421"/>
      <c r="C52" s="421"/>
      <c r="D52" s="421"/>
      <c r="E52" s="421"/>
      <c r="F52" s="421"/>
      <c r="G52" s="421"/>
      <c r="H52" s="421"/>
      <c r="I52" s="421"/>
      <c r="J52" s="421"/>
      <c r="K52" s="421"/>
      <c r="L52" s="421"/>
      <c r="M52" s="422"/>
      <c r="N52" s="423">
        <f ca="1">AA39</f>
        <v>44678</v>
      </c>
      <c r="O52" s="421"/>
      <c r="P52" s="421"/>
      <c r="Q52" s="421"/>
      <c r="R52" s="421"/>
      <c r="S52" s="421"/>
      <c r="T52" s="421"/>
      <c r="U52" s="421"/>
      <c r="V52" s="421"/>
      <c r="W52" s="421"/>
      <c r="X52" s="422"/>
      <c r="Y52" s="420" t="s">
        <v>205</v>
      </c>
      <c r="Z52" s="421"/>
      <c r="AA52" s="421"/>
      <c r="AB52" s="421"/>
      <c r="AC52" s="421"/>
      <c r="AD52" s="421"/>
      <c r="AE52" s="421"/>
      <c r="AF52" s="421"/>
      <c r="AG52" s="421"/>
      <c r="AH52" s="421"/>
      <c r="AI52" s="421"/>
      <c r="AJ52" s="421"/>
      <c r="AK52" s="421"/>
      <c r="AL52" s="422"/>
    </row>
    <row r="53" spans="1:38" ht="11.45" customHeight="1" x14ac:dyDescent="0.2">
      <c r="A53" s="420"/>
      <c r="B53" s="421"/>
      <c r="C53" s="421"/>
      <c r="D53" s="421"/>
      <c r="E53" s="421"/>
      <c r="F53" s="421"/>
      <c r="G53" s="421"/>
      <c r="H53" s="421"/>
      <c r="I53" s="421"/>
      <c r="J53" s="421"/>
      <c r="K53" s="421"/>
      <c r="L53" s="421"/>
      <c r="M53" s="422"/>
      <c r="N53" s="420" t="s">
        <v>153</v>
      </c>
      <c r="O53" s="421"/>
      <c r="P53" s="421"/>
      <c r="Q53" s="421"/>
      <c r="R53" s="421"/>
      <c r="S53" s="421"/>
      <c r="T53" s="421"/>
      <c r="U53" s="421"/>
      <c r="V53" s="421"/>
      <c r="W53" s="421"/>
      <c r="X53" s="422"/>
      <c r="Y53" s="420" t="s">
        <v>154</v>
      </c>
      <c r="Z53" s="421"/>
      <c r="AA53" s="421"/>
      <c r="AB53" s="421"/>
      <c r="AC53" s="421"/>
      <c r="AD53" s="421"/>
      <c r="AE53" s="421"/>
      <c r="AF53" s="421"/>
      <c r="AG53" s="421"/>
      <c r="AH53" s="421"/>
      <c r="AI53" s="421"/>
      <c r="AJ53" s="421"/>
      <c r="AK53" s="421"/>
      <c r="AL53" s="422"/>
    </row>
    <row r="54" spans="1:38" ht="11.45" customHeight="1" x14ac:dyDescent="0.2">
      <c r="A54" s="420"/>
      <c r="B54" s="421"/>
      <c r="C54" s="421"/>
      <c r="D54" s="421"/>
      <c r="E54" s="421"/>
      <c r="F54" s="421"/>
      <c r="G54" s="421"/>
      <c r="H54" s="421"/>
      <c r="I54" s="421"/>
      <c r="J54" s="421"/>
      <c r="K54" s="421"/>
      <c r="L54" s="421"/>
      <c r="M54" s="422"/>
      <c r="N54" s="420"/>
      <c r="O54" s="421"/>
      <c r="P54" s="421"/>
      <c r="Q54" s="421"/>
      <c r="R54" s="421"/>
      <c r="S54" s="421"/>
      <c r="T54" s="421"/>
      <c r="U54" s="421"/>
      <c r="V54" s="421"/>
      <c r="W54" s="421"/>
      <c r="X54" s="422"/>
      <c r="Y54" s="420"/>
      <c r="Z54" s="421"/>
      <c r="AA54" s="421"/>
      <c r="AB54" s="421"/>
      <c r="AC54" s="421"/>
      <c r="AD54" s="421"/>
      <c r="AE54" s="421"/>
      <c r="AF54" s="421"/>
      <c r="AG54" s="421"/>
      <c r="AH54" s="421"/>
      <c r="AI54" s="421"/>
      <c r="AJ54" s="421"/>
      <c r="AK54" s="421"/>
      <c r="AL54" s="422"/>
    </row>
    <row r="55" spans="1:38" ht="11.45" customHeight="1" x14ac:dyDescent="0.2">
      <c r="A55" s="420"/>
      <c r="B55" s="421"/>
      <c r="C55" s="421"/>
      <c r="D55" s="421"/>
      <c r="E55" s="421"/>
      <c r="F55" s="421"/>
      <c r="G55" s="421"/>
      <c r="H55" s="421"/>
      <c r="I55" s="421"/>
      <c r="J55" s="421"/>
      <c r="K55" s="421"/>
      <c r="L55" s="421"/>
      <c r="M55" s="422"/>
      <c r="N55" s="420"/>
      <c r="O55" s="421"/>
      <c r="P55" s="421"/>
      <c r="Q55" s="421"/>
      <c r="R55" s="421"/>
      <c r="S55" s="421"/>
      <c r="T55" s="421"/>
      <c r="U55" s="421"/>
      <c r="V55" s="421"/>
      <c r="W55" s="421"/>
      <c r="X55" s="422"/>
      <c r="Y55" s="420"/>
      <c r="Z55" s="421"/>
      <c r="AA55" s="421"/>
      <c r="AB55" s="421"/>
      <c r="AC55" s="421"/>
      <c r="AD55" s="421"/>
      <c r="AE55" s="421"/>
      <c r="AF55" s="421"/>
      <c r="AG55" s="421"/>
      <c r="AH55" s="421"/>
      <c r="AI55" s="421"/>
      <c r="AJ55" s="421"/>
      <c r="AK55" s="421"/>
      <c r="AL55" s="422"/>
    </row>
    <row r="56" spans="1:38" ht="11.45" customHeight="1" x14ac:dyDescent="0.2">
      <c r="A56" s="420"/>
      <c r="B56" s="421"/>
      <c r="C56" s="421"/>
      <c r="D56" s="421"/>
      <c r="E56" s="421"/>
      <c r="F56" s="421"/>
      <c r="G56" s="421"/>
      <c r="H56" s="421"/>
      <c r="I56" s="421"/>
      <c r="J56" s="421"/>
      <c r="K56" s="421"/>
      <c r="L56" s="421"/>
      <c r="M56" s="422"/>
      <c r="N56" s="438"/>
      <c r="O56" s="421"/>
      <c r="P56" s="421"/>
      <c r="Q56" s="421"/>
      <c r="R56" s="421"/>
      <c r="S56" s="421"/>
      <c r="T56" s="421"/>
      <c r="U56" s="421"/>
      <c r="V56" s="421"/>
      <c r="W56" s="421"/>
      <c r="X56" s="422"/>
      <c r="Y56" s="438"/>
      <c r="Z56" s="421"/>
      <c r="AA56" s="421"/>
      <c r="AB56" s="421"/>
      <c r="AC56" s="421"/>
      <c r="AD56" s="421"/>
      <c r="AE56" s="421"/>
      <c r="AF56" s="421"/>
      <c r="AG56" s="421"/>
      <c r="AH56" s="421"/>
      <c r="AI56" s="421"/>
      <c r="AJ56" s="421"/>
      <c r="AK56" s="421"/>
      <c r="AL56" s="422"/>
    </row>
    <row r="57" spans="1:38" ht="11.45" customHeight="1" x14ac:dyDescent="0.2">
      <c r="A57" s="439"/>
      <c r="B57" s="440"/>
      <c r="C57" s="440"/>
      <c r="D57" s="440"/>
      <c r="E57" s="440"/>
      <c r="F57" s="440"/>
      <c r="G57" s="440"/>
      <c r="H57" s="440"/>
      <c r="I57" s="440"/>
      <c r="J57" s="440"/>
      <c r="K57" s="440"/>
      <c r="L57" s="440"/>
      <c r="M57" s="441"/>
      <c r="N57" s="442"/>
      <c r="O57" s="440"/>
      <c r="P57" s="440"/>
      <c r="Q57" s="440"/>
      <c r="R57" s="440"/>
      <c r="S57" s="440"/>
      <c r="T57" s="440"/>
      <c r="U57" s="440"/>
      <c r="V57" s="440"/>
      <c r="W57" s="440"/>
      <c r="X57" s="441"/>
      <c r="Y57" s="442"/>
      <c r="Z57" s="440"/>
      <c r="AA57" s="440"/>
      <c r="AB57" s="440"/>
      <c r="AC57" s="440"/>
      <c r="AD57" s="440"/>
      <c r="AE57" s="440"/>
      <c r="AF57" s="440"/>
      <c r="AG57" s="440"/>
      <c r="AH57" s="440"/>
      <c r="AI57" s="440"/>
      <c r="AJ57" s="440"/>
      <c r="AK57" s="440"/>
      <c r="AL57" s="441"/>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33"/>
      <c r="AI58" s="433"/>
      <c r="AJ58" s="433"/>
      <c r="AK58" s="433"/>
      <c r="AL58" s="3"/>
    </row>
    <row r="59" spans="1:38" x14ac:dyDescent="0.2">
      <c r="A59" s="434" t="s">
        <v>57</v>
      </c>
      <c r="B59" s="435"/>
      <c r="C59" s="435"/>
      <c r="D59" s="436" t="str">
        <f>SAYFA!G25</f>
        <v>//yirmiikibinsekizyüzyirmidokuz TL doksaniki Kuruş//</v>
      </c>
      <c r="E59" s="436"/>
      <c r="F59" s="436"/>
      <c r="G59" s="436"/>
      <c r="H59" s="436"/>
      <c r="I59" s="436"/>
      <c r="J59" s="436"/>
      <c r="K59" s="436"/>
      <c r="L59" s="436"/>
      <c r="M59" s="436"/>
      <c r="N59" s="436"/>
      <c r="O59" s="436"/>
      <c r="P59" s="436"/>
      <c r="Q59" s="436"/>
      <c r="R59" s="436"/>
      <c r="S59" s="31" t="s">
        <v>155</v>
      </c>
      <c r="T59" s="31"/>
      <c r="U59" s="31"/>
      <c r="V59" s="31"/>
      <c r="W59" s="31"/>
      <c r="X59" s="31"/>
      <c r="Y59" s="31"/>
      <c r="Z59" s="31"/>
      <c r="AA59" s="31"/>
      <c r="AB59" s="31"/>
      <c r="AC59" s="31"/>
      <c r="AD59" s="31"/>
      <c r="AE59" s="11"/>
      <c r="AF59" s="11"/>
      <c r="AG59" s="11"/>
      <c r="AH59" s="437"/>
      <c r="AI59" s="437"/>
      <c r="AJ59" s="437"/>
      <c r="AK59" s="437"/>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10" sqref="C10"/>
    </sheetView>
  </sheetViews>
  <sheetFormatPr defaultColWidth="9.140625" defaultRowHeight="12.75" x14ac:dyDescent="0.2"/>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x14ac:dyDescent="0.2">
      <c r="A1" s="483" t="s">
        <v>164</v>
      </c>
      <c r="B1" s="484"/>
      <c r="C1" s="484"/>
      <c r="D1" s="484"/>
      <c r="E1" s="484"/>
      <c r="F1" s="484"/>
      <c r="G1" s="484"/>
      <c r="H1" s="484"/>
      <c r="I1" s="484"/>
      <c r="J1" s="484"/>
      <c r="K1" s="484"/>
      <c r="L1" s="484"/>
      <c r="M1" s="484"/>
      <c r="N1" s="484"/>
      <c r="O1" s="484"/>
      <c r="P1" s="484"/>
      <c r="Q1" s="485"/>
    </row>
    <row r="2" spans="1:18" x14ac:dyDescent="0.2">
      <c r="A2" s="219" t="s">
        <v>181</v>
      </c>
      <c r="B2" s="201"/>
      <c r="C2" s="202">
        <f>KONTROL!C5</f>
        <v>60048</v>
      </c>
      <c r="D2" s="201" t="s">
        <v>199</v>
      </c>
      <c r="E2" s="203">
        <v>2021</v>
      </c>
      <c r="F2" s="201"/>
      <c r="G2" s="201"/>
      <c r="H2" s="201"/>
      <c r="I2" s="201"/>
      <c r="J2" s="201"/>
      <c r="K2" s="201"/>
      <c r="L2" s="201"/>
      <c r="M2" s="201"/>
      <c r="N2" s="201"/>
      <c r="O2" s="201"/>
      <c r="P2" s="201"/>
      <c r="Q2" s="220"/>
    </row>
    <row r="3" spans="1:18" x14ac:dyDescent="0.2">
      <c r="A3" s="486" t="s">
        <v>165</v>
      </c>
      <c r="B3" s="204">
        <v>1</v>
      </c>
      <c r="C3" s="204">
        <v>2</v>
      </c>
      <c r="D3" s="204">
        <v>3</v>
      </c>
      <c r="E3" s="204">
        <v>4</v>
      </c>
      <c r="F3" s="487" t="s">
        <v>275</v>
      </c>
      <c r="G3" s="487"/>
      <c r="H3" s="487"/>
      <c r="I3" s="487"/>
      <c r="J3" s="487"/>
      <c r="K3" s="487"/>
      <c r="L3" s="487"/>
      <c r="M3" s="487"/>
      <c r="N3" s="487"/>
      <c r="O3" s="487"/>
      <c r="P3" s="487"/>
      <c r="Q3" s="488"/>
    </row>
    <row r="4" spans="1:18" s="205" customFormat="1" x14ac:dyDescent="0.2">
      <c r="A4" s="486"/>
      <c r="B4" s="490" t="s">
        <v>166</v>
      </c>
      <c r="C4" s="490" t="s">
        <v>167</v>
      </c>
      <c r="D4" s="490" t="s">
        <v>168</v>
      </c>
      <c r="E4" s="490" t="s">
        <v>169</v>
      </c>
      <c r="F4" s="487"/>
      <c r="G4" s="487"/>
      <c r="H4" s="487"/>
      <c r="I4" s="487"/>
      <c r="J4" s="487"/>
      <c r="K4" s="487"/>
      <c r="L4" s="487"/>
      <c r="M4" s="487"/>
      <c r="N4" s="487"/>
      <c r="O4" s="487"/>
      <c r="P4" s="487"/>
      <c r="Q4" s="488"/>
    </row>
    <row r="5" spans="1:18" ht="41.25" x14ac:dyDescent="0.2">
      <c r="A5" s="486"/>
      <c r="B5" s="490"/>
      <c r="C5" s="490"/>
      <c r="D5" s="490"/>
      <c r="E5" s="491"/>
      <c r="F5" s="217" t="s">
        <v>136</v>
      </c>
      <c r="G5" s="217" t="s">
        <v>126</v>
      </c>
      <c r="H5" s="217" t="s">
        <v>127</v>
      </c>
      <c r="I5" s="217" t="s">
        <v>128</v>
      </c>
      <c r="J5" s="217" t="s">
        <v>129</v>
      </c>
      <c r="K5" s="218" t="str">
        <f>'EK DERS ÇİZELGESİ'!AD2</f>
        <v>NİSAN</v>
      </c>
      <c r="L5" s="217" t="s">
        <v>131</v>
      </c>
      <c r="M5" s="217" t="s">
        <v>132</v>
      </c>
      <c r="N5" s="217" t="s">
        <v>137</v>
      </c>
      <c r="O5" s="217" t="s">
        <v>138</v>
      </c>
      <c r="P5" s="217" t="s">
        <v>135</v>
      </c>
      <c r="Q5" s="221" t="s">
        <v>139</v>
      </c>
    </row>
    <row r="6" spans="1:18" ht="14.25" customHeight="1" x14ac:dyDescent="0.2">
      <c r="A6" s="222">
        <f>'BİLGİ GİRİŞİ'!A3</f>
        <v>1</v>
      </c>
      <c r="B6" s="206" t="str">
        <f>CONCATENATE('BİLGİ GİRİŞİ'!B3," ",'BİLGİ GİRİŞİ'!C3)</f>
        <v>ESRA GÜMÜŞ</v>
      </c>
      <c r="C6" s="207">
        <f>'BİLGİ GİRİŞİ'!J3</f>
        <v>50</v>
      </c>
      <c r="D6" s="208">
        <f>ROUND(($C$2*C6)/100,2)</f>
        <v>30024</v>
      </c>
      <c r="E6" s="214">
        <f>ROUND((D6*0.15)/12,2)</f>
        <v>375.3</v>
      </c>
      <c r="F6" s="216">
        <f>'BİLGİ GİRİŞİ'!K3</f>
        <v>375.3</v>
      </c>
      <c r="G6" s="216">
        <f>'BİLGİ GİRİŞİ'!L3</f>
        <v>0</v>
      </c>
      <c r="H6" s="216">
        <f>'BİLGİ GİRİŞİ'!M3</f>
        <v>0</v>
      </c>
      <c r="I6" s="216">
        <f>'BİLGİ GİRİŞİ'!N3</f>
        <v>0</v>
      </c>
      <c r="J6" s="216">
        <f>'BİLGİ GİRİŞİ'!O3</f>
        <v>0</v>
      </c>
      <c r="K6" s="209">
        <f>BORDRO!AB8</f>
        <v>0</v>
      </c>
      <c r="L6" s="215">
        <f>'BİLGİ GİRİŞİ'!Q3</f>
        <v>0</v>
      </c>
      <c r="M6" s="215">
        <f>'BİLGİ GİRİŞİ'!R3</f>
        <v>0</v>
      </c>
      <c r="N6" s="215">
        <f>'BİLGİ GİRİŞİ'!S3</f>
        <v>0</v>
      </c>
      <c r="O6" s="215">
        <f>'BİLGİ GİRİŞİ'!T3</f>
        <v>0</v>
      </c>
      <c r="P6" s="215"/>
      <c r="Q6" s="223"/>
      <c r="R6" s="210"/>
    </row>
    <row r="7" spans="1:18" ht="14.25" customHeight="1" x14ac:dyDescent="0.2">
      <c r="A7" s="222">
        <f>'BİLGİ GİRİŞİ'!A4</f>
        <v>2</v>
      </c>
      <c r="B7" s="206" t="str">
        <f>CONCATENATE('BİLGİ GİRİŞİ'!B4," ",'BİLGİ GİRİŞİ'!C4)</f>
        <v>ŞERİFE GÜNAL</v>
      </c>
      <c r="C7" s="207">
        <f>'BİLGİ GİRİŞİ'!J4</f>
        <v>50</v>
      </c>
      <c r="D7" s="208">
        <f>ROUND(($C$2*C7)/100,2)</f>
        <v>30024</v>
      </c>
      <c r="E7" s="214">
        <f>ROUND((D7*0.15)/12,2)</f>
        <v>375.3</v>
      </c>
      <c r="F7" s="216">
        <f>'BİLGİ GİRİŞİ'!K4</f>
        <v>220.72499999999999</v>
      </c>
      <c r="G7" s="216">
        <f>'BİLGİ GİRİŞİ'!L4</f>
        <v>0</v>
      </c>
      <c r="H7" s="216">
        <f>'BİLGİ GİRİŞİ'!M4</f>
        <v>0</v>
      </c>
      <c r="I7" s="216">
        <f>'BİLGİ GİRİŞİ'!N4</f>
        <v>0</v>
      </c>
      <c r="J7" s="216">
        <f>'BİLGİ GİRİŞİ'!O4</f>
        <v>0</v>
      </c>
      <c r="K7" s="209">
        <f>BORDRO!AB9</f>
        <v>0</v>
      </c>
      <c r="L7" s="215">
        <f>'BİLGİ GİRİŞİ'!Q4</f>
        <v>0</v>
      </c>
      <c r="M7" s="215">
        <f>'BİLGİ GİRİŞİ'!R4</f>
        <v>0</v>
      </c>
      <c r="N7" s="215">
        <f>'BİLGİ GİRİŞİ'!S4</f>
        <v>0</v>
      </c>
      <c r="O7" s="215">
        <f>'BİLGİ GİRİŞİ'!T4</f>
        <v>0</v>
      </c>
      <c r="P7" s="215"/>
      <c r="Q7" s="223"/>
      <c r="R7" s="210"/>
    </row>
    <row r="8" spans="1:18" ht="14.25" customHeight="1" x14ac:dyDescent="0.2">
      <c r="A8" s="222">
        <f>'BİLGİ GİRİŞİ'!A5</f>
        <v>3</v>
      </c>
      <c r="B8" s="206" t="str">
        <f>CONCATENATE('BİLGİ GİRİŞİ'!B5," ",'BİLGİ GİRİŞİ'!C5)</f>
        <v>HATİCE SUCU</v>
      </c>
      <c r="C8" s="207">
        <f>'BİLGİ GİRİŞİ'!J5</f>
        <v>50</v>
      </c>
      <c r="D8" s="208">
        <f>ROUND(($C$2*C8)/100,2)</f>
        <v>30024</v>
      </c>
      <c r="E8" s="214">
        <f>ROUND((D8*0.15)/12,2)</f>
        <v>375.3</v>
      </c>
      <c r="F8" s="216">
        <f>'BİLGİ GİRİŞİ'!K5</f>
        <v>220.72499999999999</v>
      </c>
      <c r="G8" s="216">
        <f>'BİLGİ GİRİŞİ'!L5</f>
        <v>0</v>
      </c>
      <c r="H8" s="216">
        <f>'BİLGİ GİRİŞİ'!M5</f>
        <v>0</v>
      </c>
      <c r="I8" s="216">
        <f>'BİLGİ GİRİŞİ'!N5</f>
        <v>0</v>
      </c>
      <c r="J8" s="216">
        <f>'BİLGİ GİRİŞİ'!O5</f>
        <v>0</v>
      </c>
      <c r="K8" s="209">
        <f>BORDRO!AB10</f>
        <v>0</v>
      </c>
      <c r="L8" s="215">
        <f>'BİLGİ GİRİŞİ'!Q5</f>
        <v>0</v>
      </c>
      <c r="M8" s="215">
        <f>'BİLGİ GİRİŞİ'!R5</f>
        <v>0</v>
      </c>
      <c r="N8" s="215">
        <f>'BİLGİ GİRİŞİ'!S5</f>
        <v>0</v>
      </c>
      <c r="O8" s="215">
        <f>'BİLGİ GİRİŞİ'!T5</f>
        <v>0</v>
      </c>
      <c r="P8" s="215"/>
      <c r="Q8" s="223"/>
    </row>
    <row r="9" spans="1:18" ht="14.25" customHeight="1" x14ac:dyDescent="0.2">
      <c r="A9" s="222">
        <f>'BİLGİ GİRİŞİ'!A6</f>
        <v>4</v>
      </c>
      <c r="B9" s="206" t="str">
        <f>CONCATENATE('BİLGİ GİRİŞİ'!B6," ",'BİLGİ GİRİŞİ'!C6)</f>
        <v>YASİN DAYANKAÇ</v>
      </c>
      <c r="C9" s="207">
        <f>'BİLGİ GİRİŞİ'!J6</f>
        <v>50</v>
      </c>
      <c r="D9" s="208">
        <f>ROUND(($C$2*C9)/100,2)</f>
        <v>30024</v>
      </c>
      <c r="E9" s="214">
        <f>ROUND((D9*0.15)/12,2)</f>
        <v>375.3</v>
      </c>
      <c r="F9" s="216">
        <f>'BİLGİ GİRİŞİ'!K6</f>
        <v>220.72499999999999</v>
      </c>
      <c r="G9" s="216">
        <f>'BİLGİ GİRİŞİ'!L6</f>
        <v>0</v>
      </c>
      <c r="H9" s="216">
        <f>'BİLGİ GİRİŞİ'!M6</f>
        <v>0</v>
      </c>
      <c r="I9" s="216">
        <f>'BİLGİ GİRİŞİ'!N6</f>
        <v>0</v>
      </c>
      <c r="J9" s="216">
        <f>'BİLGİ GİRİŞİ'!O6</f>
        <v>0</v>
      </c>
      <c r="K9" s="209">
        <f>BORDRO!AB11</f>
        <v>0</v>
      </c>
      <c r="L9" s="216">
        <f>'BİLGİ GİRİŞİ'!Q6</f>
        <v>0</v>
      </c>
      <c r="M9" s="216">
        <f>'BİLGİ GİRİŞİ'!R6</f>
        <v>0</v>
      </c>
      <c r="N9" s="216">
        <f>'BİLGİ GİRİŞİ'!S6</f>
        <v>0</v>
      </c>
      <c r="O9" s="216">
        <f>'BİLGİ GİRİŞİ'!T6</f>
        <v>0</v>
      </c>
      <c r="P9" s="215"/>
      <c r="Q9" s="223"/>
    </row>
    <row r="10" spans="1:18" ht="14.25" customHeight="1" x14ac:dyDescent="0.2">
      <c r="A10" s="222">
        <f>'BİLGİ GİRİŞİ'!A7</f>
        <v>5</v>
      </c>
      <c r="B10" s="206" t="str">
        <f>CONCATENATE('BİLGİ GİRİŞİ'!B7," ",'BİLGİ GİRİŞİ'!C7)</f>
        <v>REFİYE RANA TOK</v>
      </c>
      <c r="C10" s="207">
        <f>'BİLGİ GİRİŞİ'!J7</f>
        <v>50</v>
      </c>
      <c r="D10" s="208">
        <f>ROUND(($C$2*C10)/100,2)</f>
        <v>30024</v>
      </c>
      <c r="E10" s="214">
        <f>ROUND((D10*0.15)/12,2)</f>
        <v>375.3</v>
      </c>
      <c r="F10" s="216">
        <f>'BİLGİ GİRİŞİ'!K7</f>
        <v>220.72499999999999</v>
      </c>
      <c r="G10" s="216">
        <f>'BİLGİ GİRİŞİ'!L7</f>
        <v>0</v>
      </c>
      <c r="H10" s="216">
        <f>'BİLGİ GİRİŞİ'!M7</f>
        <v>0</v>
      </c>
      <c r="I10" s="216">
        <f>'BİLGİ GİRİŞİ'!N7</f>
        <v>0</v>
      </c>
      <c r="J10" s="216">
        <f>'BİLGİ GİRİŞİ'!O7</f>
        <v>0</v>
      </c>
      <c r="K10" s="209">
        <f>BORDRO!AB12</f>
        <v>0</v>
      </c>
      <c r="L10" s="216">
        <f>'BİLGİ GİRİŞİ'!Q7</f>
        <v>0</v>
      </c>
      <c r="M10" s="216">
        <f>'BİLGİ GİRİŞİ'!R7</f>
        <v>0</v>
      </c>
      <c r="N10" s="216">
        <f>'BİLGİ GİRİŞİ'!S7</f>
        <v>0</v>
      </c>
      <c r="O10" s="216">
        <f>'BİLGİ GİRİŞİ'!T7</f>
        <v>0</v>
      </c>
      <c r="P10" s="215"/>
      <c r="Q10" s="223"/>
    </row>
    <row r="11" spans="1:18" ht="14.25" customHeight="1" x14ac:dyDescent="0.2">
      <c r="A11" s="222">
        <f>'BİLGİ GİRİŞİ'!A8</f>
        <v>6</v>
      </c>
      <c r="B11" s="206" t="str">
        <f>CONCATENATE('BİLGİ GİRİŞİ'!B8," ",'BİLGİ GİRİŞİ'!C8)</f>
        <v>YUSUF ARABACI</v>
      </c>
      <c r="C11" s="207">
        <f>'BİLGİ GİRİŞİ'!J8</f>
        <v>0</v>
      </c>
      <c r="D11" s="208">
        <f t="shared" ref="D11:D13" si="0">ROUND(($C$2*C11)/100,2)</f>
        <v>0</v>
      </c>
      <c r="E11" s="214">
        <f t="shared" ref="E11:E13" si="1">ROUND((D11*0.15)/12,2)</f>
        <v>0</v>
      </c>
      <c r="F11" s="216">
        <f>'BİLGİ GİRİŞİ'!K8</f>
        <v>0</v>
      </c>
      <c r="G11" s="216">
        <f>'BİLGİ GİRİŞİ'!L8</f>
        <v>0</v>
      </c>
      <c r="H11" s="216">
        <f>'BİLGİ GİRİŞİ'!M8</f>
        <v>0</v>
      </c>
      <c r="I11" s="216">
        <f>'BİLGİ GİRİŞİ'!N8</f>
        <v>0</v>
      </c>
      <c r="J11" s="216">
        <f>'BİLGİ GİRİŞİ'!O8</f>
        <v>0</v>
      </c>
      <c r="K11" s="209">
        <f>BORDRO!AB13</f>
        <v>0</v>
      </c>
      <c r="L11" s="216"/>
      <c r="M11" s="216"/>
      <c r="N11" s="216"/>
      <c r="O11" s="216"/>
      <c r="P11" s="215"/>
      <c r="Q11" s="223"/>
    </row>
    <row r="12" spans="1:18" ht="14.25" customHeight="1" x14ac:dyDescent="0.2">
      <c r="A12" s="222">
        <f>'BİLGİ GİRİŞİ'!A9</f>
        <v>7</v>
      </c>
      <c r="B12" s="206" t="str">
        <f>CONCATENATE('BİLGİ GİRİŞİ'!B9," ",'BİLGİ GİRİŞİ'!C9)</f>
        <v>ASLI ÜSTELİK</v>
      </c>
      <c r="C12" s="207">
        <f>'BİLGİ GİRİŞİ'!J9</f>
        <v>0</v>
      </c>
      <c r="D12" s="208">
        <f t="shared" si="0"/>
        <v>0</v>
      </c>
      <c r="E12" s="214">
        <f t="shared" si="1"/>
        <v>0</v>
      </c>
      <c r="F12" s="216">
        <f>'BİLGİ GİRİŞİ'!K9</f>
        <v>0</v>
      </c>
      <c r="G12" s="216">
        <f>'BİLGİ GİRİŞİ'!L9</f>
        <v>0</v>
      </c>
      <c r="H12" s="216">
        <f>'BİLGİ GİRİŞİ'!M9</f>
        <v>0</v>
      </c>
      <c r="I12" s="216">
        <f>'BİLGİ GİRİŞİ'!N9</f>
        <v>0</v>
      </c>
      <c r="J12" s="216">
        <f>'BİLGİ GİRİŞİ'!O9</f>
        <v>0</v>
      </c>
      <c r="K12" s="209">
        <f>BORDRO!AB14</f>
        <v>0</v>
      </c>
      <c r="L12" s="216"/>
      <c r="M12" s="216"/>
      <c r="N12" s="216"/>
      <c r="O12" s="216"/>
      <c r="P12" s="215"/>
      <c r="Q12" s="223"/>
    </row>
    <row r="13" spans="1:18" ht="14.25" customHeight="1" x14ac:dyDescent="0.2">
      <c r="A13" s="222">
        <f>'BİLGİ GİRİŞİ'!A10</f>
        <v>8</v>
      </c>
      <c r="B13" s="206" t="str">
        <f>CONCATENATE('BİLGİ GİRİŞİ'!B10," ",'BİLGİ GİRİŞİ'!C10)</f>
        <v>ÖZNUR ATACAN</v>
      </c>
      <c r="C13" s="207">
        <f>'BİLGİ GİRİŞİ'!J10</f>
        <v>0</v>
      </c>
      <c r="D13" s="208">
        <f t="shared" si="0"/>
        <v>0</v>
      </c>
      <c r="E13" s="214">
        <f t="shared" si="1"/>
        <v>0</v>
      </c>
      <c r="F13" s="216">
        <f>'BİLGİ GİRİŞİ'!K10</f>
        <v>0</v>
      </c>
      <c r="G13" s="216">
        <f>'BİLGİ GİRİŞİ'!L10</f>
        <v>0</v>
      </c>
      <c r="H13" s="216">
        <f>'BİLGİ GİRİŞİ'!M10</f>
        <v>0</v>
      </c>
      <c r="I13" s="216">
        <f>'BİLGİ GİRİŞİ'!N10</f>
        <v>0</v>
      </c>
      <c r="J13" s="216">
        <f>'BİLGİ GİRİŞİ'!O10</f>
        <v>0</v>
      </c>
      <c r="K13" s="209">
        <f>BORDRO!AB15</f>
        <v>0</v>
      </c>
      <c r="L13" s="216"/>
      <c r="M13" s="216"/>
      <c r="N13" s="216"/>
      <c r="O13" s="216"/>
      <c r="P13" s="215"/>
      <c r="Q13" s="223"/>
    </row>
    <row r="14" spans="1:18" ht="14.25" customHeight="1" x14ac:dyDescent="0.2">
      <c r="A14" s="222">
        <f>'BİLGİ GİRİŞİ'!A11</f>
        <v>9</v>
      </c>
      <c r="B14" s="206" t="str">
        <f>CONCATENATE('BİLGİ GİRİŞİ'!B11," ",'BİLGİ GİRİŞİ'!C11)</f>
        <v>YASEMİN TOKTAŞ</v>
      </c>
      <c r="C14" s="207"/>
      <c r="D14" s="208"/>
      <c r="E14" s="214"/>
      <c r="F14" s="216"/>
      <c r="G14" s="216"/>
      <c r="H14" s="216"/>
      <c r="I14" s="216"/>
      <c r="J14" s="216"/>
      <c r="K14" s="208"/>
      <c r="L14" s="215"/>
      <c r="M14" s="215"/>
      <c r="N14" s="215"/>
      <c r="O14" s="215"/>
      <c r="P14" s="215"/>
      <c r="Q14" s="223"/>
    </row>
    <row r="15" spans="1:18" ht="14.25" hidden="1" customHeight="1" x14ac:dyDescent="0.2">
      <c r="A15" s="222">
        <f>'BİLGİ GİRİŞİ'!A12</f>
        <v>10</v>
      </c>
      <c r="B15" s="206" t="str">
        <f>CONCATENATE('BİLGİ GİRİŞİ'!B12," ",'BİLGİ GİRİŞİ'!C12)</f>
        <v xml:space="preserve"> </v>
      </c>
      <c r="C15" s="207">
        <f>'BİLGİ GİRİŞİ'!J12</f>
        <v>0</v>
      </c>
      <c r="D15" s="208">
        <f t="shared" ref="D15:D53" si="2">ROUND(($C$2*C15)/100,2)</f>
        <v>0</v>
      </c>
      <c r="E15" s="214">
        <f t="shared" ref="E15:E53" si="3">ROUND((D15*0.15)/12,2)</f>
        <v>0</v>
      </c>
      <c r="F15" s="216"/>
      <c r="G15" s="216"/>
      <c r="H15" s="216"/>
      <c r="I15" s="216"/>
      <c r="J15" s="216"/>
      <c r="K15" s="208"/>
      <c r="L15" s="215"/>
      <c r="M15" s="215"/>
      <c r="N15" s="215"/>
      <c r="O15" s="215"/>
      <c r="P15" s="215"/>
      <c r="Q15" s="223"/>
    </row>
    <row r="16" spans="1:18" ht="14.25" hidden="1" customHeight="1" x14ac:dyDescent="0.2">
      <c r="A16" s="222">
        <f>'BİLGİ GİRİŞİ'!A13</f>
        <v>11</v>
      </c>
      <c r="B16" s="206" t="str">
        <f>CONCATENATE('BİLGİ GİRİŞİ'!B13," ",'BİLGİ GİRİŞİ'!C13)</f>
        <v xml:space="preserve"> </v>
      </c>
      <c r="C16" s="207">
        <f>'BİLGİ GİRİŞİ'!J13</f>
        <v>0</v>
      </c>
      <c r="D16" s="208">
        <f t="shared" si="2"/>
        <v>0</v>
      </c>
      <c r="E16" s="214">
        <f t="shared" si="3"/>
        <v>0</v>
      </c>
      <c r="F16" s="216"/>
      <c r="G16" s="216"/>
      <c r="H16" s="216"/>
      <c r="I16" s="216"/>
      <c r="J16" s="216"/>
      <c r="K16" s="208"/>
      <c r="L16" s="215"/>
      <c r="M16" s="215"/>
      <c r="N16" s="215"/>
      <c r="O16" s="215"/>
      <c r="P16" s="215"/>
      <c r="Q16" s="223"/>
    </row>
    <row r="17" spans="1:17" ht="14.25" hidden="1" customHeight="1" x14ac:dyDescent="0.2">
      <c r="A17" s="222">
        <f>'BİLGİ GİRİŞİ'!A14</f>
        <v>12</v>
      </c>
      <c r="B17" s="206" t="str">
        <f>CONCATENATE('BİLGİ GİRİŞİ'!B14," ",'BİLGİ GİRİŞİ'!C14)</f>
        <v xml:space="preserve"> </v>
      </c>
      <c r="C17" s="207">
        <f>'BİLGİ GİRİŞİ'!J14</f>
        <v>0</v>
      </c>
      <c r="D17" s="208">
        <f t="shared" si="2"/>
        <v>0</v>
      </c>
      <c r="E17" s="214">
        <f t="shared" si="3"/>
        <v>0</v>
      </c>
      <c r="F17" s="216"/>
      <c r="G17" s="216"/>
      <c r="H17" s="216"/>
      <c r="I17" s="216"/>
      <c r="J17" s="216"/>
      <c r="K17" s="208"/>
      <c r="L17" s="215"/>
      <c r="M17" s="215"/>
      <c r="N17" s="215"/>
      <c r="O17" s="215"/>
      <c r="P17" s="215"/>
      <c r="Q17" s="223"/>
    </row>
    <row r="18" spans="1:17" ht="14.25" hidden="1" customHeight="1" x14ac:dyDescent="0.2">
      <c r="A18" s="222">
        <f>'BİLGİ GİRİŞİ'!A15</f>
        <v>13</v>
      </c>
      <c r="B18" s="206" t="str">
        <f>CONCATENATE('BİLGİ GİRİŞİ'!B15," ",'BİLGİ GİRİŞİ'!C15)</f>
        <v xml:space="preserve"> </v>
      </c>
      <c r="C18" s="207">
        <f>'BİLGİ GİRİŞİ'!J15</f>
        <v>0</v>
      </c>
      <c r="D18" s="208">
        <f t="shared" si="2"/>
        <v>0</v>
      </c>
      <c r="E18" s="214">
        <f t="shared" si="3"/>
        <v>0</v>
      </c>
      <c r="F18" s="216"/>
      <c r="G18" s="216"/>
      <c r="H18" s="216"/>
      <c r="I18" s="216"/>
      <c r="J18" s="216"/>
      <c r="K18" s="208"/>
      <c r="L18" s="215"/>
      <c r="M18" s="215"/>
      <c r="N18" s="215"/>
      <c r="O18" s="215"/>
      <c r="P18" s="215"/>
      <c r="Q18" s="223"/>
    </row>
    <row r="19" spans="1:17" ht="14.25" hidden="1" customHeight="1" x14ac:dyDescent="0.2">
      <c r="A19" s="222">
        <f>'BİLGİ GİRİŞİ'!A16</f>
        <v>14</v>
      </c>
      <c r="B19" s="206" t="str">
        <f>CONCATENATE('BİLGİ GİRİŞİ'!B16," ",'BİLGİ GİRİŞİ'!C16)</f>
        <v xml:space="preserve"> </v>
      </c>
      <c r="C19" s="207">
        <f>'BİLGİ GİRİŞİ'!J16</f>
        <v>0</v>
      </c>
      <c r="D19" s="208">
        <f t="shared" si="2"/>
        <v>0</v>
      </c>
      <c r="E19" s="214">
        <f t="shared" si="3"/>
        <v>0</v>
      </c>
      <c r="F19" s="216"/>
      <c r="G19" s="216"/>
      <c r="H19" s="216"/>
      <c r="I19" s="216"/>
      <c r="J19" s="216"/>
      <c r="K19" s="208"/>
      <c r="L19" s="215"/>
      <c r="M19" s="215"/>
      <c r="N19" s="215"/>
      <c r="O19" s="215"/>
      <c r="P19" s="215"/>
      <c r="Q19" s="223"/>
    </row>
    <row r="20" spans="1:17" ht="14.25" hidden="1" customHeight="1" x14ac:dyDescent="0.2">
      <c r="A20" s="222">
        <f>'BİLGİ GİRİŞİ'!A17</f>
        <v>15</v>
      </c>
      <c r="B20" s="206" t="str">
        <f>CONCATENATE('BİLGİ GİRİŞİ'!B17," ",'BİLGİ GİRİŞİ'!C17)</f>
        <v xml:space="preserve"> </v>
      </c>
      <c r="C20" s="207">
        <f>'BİLGİ GİRİŞİ'!J17</f>
        <v>0</v>
      </c>
      <c r="D20" s="208">
        <f t="shared" si="2"/>
        <v>0</v>
      </c>
      <c r="E20" s="214">
        <f t="shared" si="3"/>
        <v>0</v>
      </c>
      <c r="F20" s="216"/>
      <c r="G20" s="216"/>
      <c r="H20" s="216"/>
      <c r="I20" s="216"/>
      <c r="J20" s="216"/>
      <c r="K20" s="208"/>
      <c r="L20" s="215"/>
      <c r="M20" s="215"/>
      <c r="N20" s="215"/>
      <c r="O20" s="215"/>
      <c r="P20" s="215"/>
      <c r="Q20" s="223"/>
    </row>
    <row r="21" spans="1:17" ht="14.25" hidden="1" customHeight="1" x14ac:dyDescent="0.2">
      <c r="A21" s="222">
        <f>'BİLGİ GİRİŞİ'!A18</f>
        <v>16</v>
      </c>
      <c r="B21" s="206" t="str">
        <f>CONCATENATE('BİLGİ GİRİŞİ'!B18," ",'BİLGİ GİRİŞİ'!C18)</f>
        <v xml:space="preserve"> </v>
      </c>
      <c r="C21" s="207">
        <f>'BİLGİ GİRİŞİ'!J18</f>
        <v>0</v>
      </c>
      <c r="D21" s="208">
        <f t="shared" si="2"/>
        <v>0</v>
      </c>
      <c r="E21" s="214">
        <f t="shared" si="3"/>
        <v>0</v>
      </c>
      <c r="F21" s="216"/>
      <c r="G21" s="216"/>
      <c r="H21" s="216"/>
      <c r="I21" s="216"/>
      <c r="J21" s="216"/>
      <c r="K21" s="208"/>
      <c r="L21" s="215"/>
      <c r="M21" s="215"/>
      <c r="N21" s="215"/>
      <c r="O21" s="215"/>
      <c r="P21" s="215"/>
      <c r="Q21" s="223"/>
    </row>
    <row r="22" spans="1:17" ht="14.25" hidden="1" customHeight="1" x14ac:dyDescent="0.2">
      <c r="A22" s="222">
        <f>'BİLGİ GİRİŞİ'!A19</f>
        <v>17</v>
      </c>
      <c r="B22" s="206" t="str">
        <f>CONCATENATE('BİLGİ GİRİŞİ'!B19," ",'BİLGİ GİRİŞİ'!C19)</f>
        <v xml:space="preserve"> </v>
      </c>
      <c r="C22" s="207">
        <f>'BİLGİ GİRİŞİ'!J19</f>
        <v>0</v>
      </c>
      <c r="D22" s="208">
        <f t="shared" si="2"/>
        <v>0</v>
      </c>
      <c r="E22" s="214">
        <f t="shared" si="3"/>
        <v>0</v>
      </c>
      <c r="F22" s="216"/>
      <c r="G22" s="216"/>
      <c r="H22" s="216"/>
      <c r="I22" s="216"/>
      <c r="J22" s="216"/>
      <c r="K22" s="208"/>
      <c r="L22" s="215"/>
      <c r="M22" s="215"/>
      <c r="N22" s="215"/>
      <c r="O22" s="215"/>
      <c r="P22" s="215"/>
      <c r="Q22" s="223"/>
    </row>
    <row r="23" spans="1:17" ht="14.25" hidden="1" customHeight="1" x14ac:dyDescent="0.2">
      <c r="A23" s="222">
        <f>'BİLGİ GİRİŞİ'!A20</f>
        <v>18</v>
      </c>
      <c r="B23" s="206" t="str">
        <f>CONCATENATE('BİLGİ GİRİŞİ'!B20," ",'BİLGİ GİRİŞİ'!C20)</f>
        <v xml:space="preserve"> </v>
      </c>
      <c r="C23" s="207">
        <f>'BİLGİ GİRİŞİ'!J20</f>
        <v>0</v>
      </c>
      <c r="D23" s="208">
        <f t="shared" si="2"/>
        <v>0</v>
      </c>
      <c r="E23" s="214">
        <f t="shared" si="3"/>
        <v>0</v>
      </c>
      <c r="F23" s="216"/>
      <c r="G23" s="216"/>
      <c r="H23" s="216"/>
      <c r="I23" s="216"/>
      <c r="J23" s="216"/>
      <c r="K23" s="208"/>
      <c r="L23" s="215"/>
      <c r="M23" s="215"/>
      <c r="N23" s="215"/>
      <c r="O23" s="215"/>
      <c r="P23" s="215"/>
      <c r="Q23" s="223"/>
    </row>
    <row r="24" spans="1:17" ht="14.25" hidden="1" customHeight="1" x14ac:dyDescent="0.2">
      <c r="A24" s="222">
        <f>'BİLGİ GİRİŞİ'!A21</f>
        <v>19</v>
      </c>
      <c r="B24" s="206" t="str">
        <f>CONCATENATE('BİLGİ GİRİŞİ'!B21," ",'BİLGİ GİRİŞİ'!C21)</f>
        <v xml:space="preserve"> </v>
      </c>
      <c r="C24" s="207">
        <f>'BİLGİ GİRİŞİ'!J21</f>
        <v>0</v>
      </c>
      <c r="D24" s="208">
        <f t="shared" si="2"/>
        <v>0</v>
      </c>
      <c r="E24" s="214">
        <f t="shared" si="3"/>
        <v>0</v>
      </c>
      <c r="F24" s="216"/>
      <c r="G24" s="216"/>
      <c r="H24" s="216"/>
      <c r="I24" s="216"/>
      <c r="J24" s="216"/>
      <c r="K24" s="208"/>
      <c r="L24" s="215"/>
      <c r="M24" s="215"/>
      <c r="N24" s="215"/>
      <c r="O24" s="215"/>
      <c r="P24" s="215"/>
      <c r="Q24" s="223"/>
    </row>
    <row r="25" spans="1:17" ht="14.25" hidden="1" customHeight="1" x14ac:dyDescent="0.2">
      <c r="A25" s="222">
        <f>'BİLGİ GİRİŞİ'!A22</f>
        <v>20</v>
      </c>
      <c r="B25" s="206" t="str">
        <f>CONCATENATE('BİLGİ GİRİŞİ'!B22," ",'BİLGİ GİRİŞİ'!C22)</f>
        <v xml:space="preserve"> </v>
      </c>
      <c r="C25" s="207">
        <f>'BİLGİ GİRİŞİ'!J22</f>
        <v>0</v>
      </c>
      <c r="D25" s="208">
        <f t="shared" si="2"/>
        <v>0</v>
      </c>
      <c r="E25" s="214">
        <f t="shared" si="3"/>
        <v>0</v>
      </c>
      <c r="F25" s="216"/>
      <c r="G25" s="216"/>
      <c r="H25" s="216"/>
      <c r="I25" s="216"/>
      <c r="J25" s="216"/>
      <c r="K25" s="208"/>
      <c r="L25" s="215"/>
      <c r="M25" s="215"/>
      <c r="N25" s="215"/>
      <c r="O25" s="215"/>
      <c r="P25" s="215"/>
      <c r="Q25" s="223"/>
    </row>
    <row r="26" spans="1:17" ht="14.25" hidden="1" customHeight="1" x14ac:dyDescent="0.2">
      <c r="A26" s="222">
        <f>'BİLGİ GİRİŞİ'!A23</f>
        <v>21</v>
      </c>
      <c r="B26" s="206" t="str">
        <f>CONCATENATE('BİLGİ GİRİŞİ'!B23," ",'BİLGİ GİRİŞİ'!C23)</f>
        <v xml:space="preserve"> </v>
      </c>
      <c r="C26" s="207">
        <f>'BİLGİ GİRİŞİ'!J23</f>
        <v>0</v>
      </c>
      <c r="D26" s="208">
        <f t="shared" si="2"/>
        <v>0</v>
      </c>
      <c r="E26" s="214">
        <f t="shared" si="3"/>
        <v>0</v>
      </c>
      <c r="F26" s="216"/>
      <c r="G26" s="216"/>
      <c r="H26" s="216"/>
      <c r="I26" s="216"/>
      <c r="J26" s="216"/>
      <c r="K26" s="208"/>
      <c r="L26" s="215"/>
      <c r="M26" s="215"/>
      <c r="N26" s="215"/>
      <c r="O26" s="215"/>
      <c r="P26" s="215"/>
      <c r="Q26" s="223"/>
    </row>
    <row r="27" spans="1:17" ht="14.25" hidden="1" customHeight="1" x14ac:dyDescent="0.2">
      <c r="A27" s="222">
        <f>'BİLGİ GİRİŞİ'!A24</f>
        <v>22</v>
      </c>
      <c r="B27" s="206" t="str">
        <f>CONCATENATE('BİLGİ GİRİŞİ'!B24," ",'BİLGİ GİRİŞİ'!C24)</f>
        <v xml:space="preserve"> </v>
      </c>
      <c r="C27" s="207">
        <f>'BİLGİ GİRİŞİ'!J24</f>
        <v>0</v>
      </c>
      <c r="D27" s="208">
        <f t="shared" si="2"/>
        <v>0</v>
      </c>
      <c r="E27" s="214">
        <f t="shared" si="3"/>
        <v>0</v>
      </c>
      <c r="F27" s="216"/>
      <c r="G27" s="216"/>
      <c r="H27" s="216"/>
      <c r="I27" s="216"/>
      <c r="J27" s="216"/>
      <c r="K27" s="208"/>
      <c r="L27" s="215"/>
      <c r="M27" s="215"/>
      <c r="N27" s="215"/>
      <c r="O27" s="215"/>
      <c r="P27" s="215"/>
      <c r="Q27" s="223"/>
    </row>
    <row r="28" spans="1:17" ht="14.25" hidden="1" customHeight="1" x14ac:dyDescent="0.2">
      <c r="A28" s="222">
        <f>'BİLGİ GİRİŞİ'!A25</f>
        <v>23</v>
      </c>
      <c r="B28" s="206" t="str">
        <f>CONCATENATE('BİLGİ GİRİŞİ'!B25," ",'BİLGİ GİRİŞİ'!C25)</f>
        <v xml:space="preserve"> </v>
      </c>
      <c r="C28" s="207">
        <f>'BİLGİ GİRİŞİ'!J25</f>
        <v>0</v>
      </c>
      <c r="D28" s="208">
        <f t="shared" si="2"/>
        <v>0</v>
      </c>
      <c r="E28" s="214">
        <f t="shared" si="3"/>
        <v>0</v>
      </c>
      <c r="F28" s="216"/>
      <c r="G28" s="216"/>
      <c r="H28" s="216"/>
      <c r="I28" s="216"/>
      <c r="J28" s="216"/>
      <c r="K28" s="208"/>
      <c r="L28" s="215"/>
      <c r="M28" s="215"/>
      <c r="N28" s="215"/>
      <c r="O28" s="215"/>
      <c r="P28" s="215"/>
      <c r="Q28" s="223"/>
    </row>
    <row r="29" spans="1:17" ht="14.25" hidden="1" customHeight="1" x14ac:dyDescent="0.2">
      <c r="A29" s="222">
        <f>'BİLGİ GİRİŞİ'!A26</f>
        <v>24</v>
      </c>
      <c r="B29" s="206" t="str">
        <f>CONCATENATE('BİLGİ GİRİŞİ'!B26," ",'BİLGİ GİRİŞİ'!C26)</f>
        <v xml:space="preserve"> </v>
      </c>
      <c r="C29" s="207">
        <f>'BİLGİ GİRİŞİ'!J26</f>
        <v>0</v>
      </c>
      <c r="D29" s="208">
        <f t="shared" si="2"/>
        <v>0</v>
      </c>
      <c r="E29" s="214">
        <f t="shared" si="3"/>
        <v>0</v>
      </c>
      <c r="F29" s="216"/>
      <c r="G29" s="216"/>
      <c r="H29" s="216"/>
      <c r="I29" s="216"/>
      <c r="J29" s="216"/>
      <c r="K29" s="208"/>
      <c r="L29" s="215"/>
      <c r="M29" s="215"/>
      <c r="N29" s="215"/>
      <c r="O29" s="215"/>
      <c r="P29" s="215"/>
      <c r="Q29" s="223"/>
    </row>
    <row r="30" spans="1:17" ht="14.25" hidden="1" customHeight="1" x14ac:dyDescent="0.2">
      <c r="A30" s="222">
        <f>'BİLGİ GİRİŞİ'!A27</f>
        <v>25</v>
      </c>
      <c r="B30" s="206" t="str">
        <f>CONCATENATE('BİLGİ GİRİŞİ'!B27," ",'BİLGİ GİRİŞİ'!C27)</f>
        <v xml:space="preserve"> </v>
      </c>
      <c r="C30" s="207">
        <f>'BİLGİ GİRİŞİ'!J27</f>
        <v>0</v>
      </c>
      <c r="D30" s="208">
        <f t="shared" si="2"/>
        <v>0</v>
      </c>
      <c r="E30" s="214">
        <f t="shared" si="3"/>
        <v>0</v>
      </c>
      <c r="F30" s="216"/>
      <c r="G30" s="216"/>
      <c r="H30" s="216"/>
      <c r="I30" s="216"/>
      <c r="J30" s="216"/>
      <c r="K30" s="208"/>
      <c r="L30" s="215"/>
      <c r="M30" s="215"/>
      <c r="N30" s="215"/>
      <c r="O30" s="215"/>
      <c r="P30" s="215"/>
      <c r="Q30" s="223"/>
    </row>
    <row r="31" spans="1:17" ht="14.25" hidden="1" customHeight="1" x14ac:dyDescent="0.2">
      <c r="A31" s="222">
        <f>'BİLGİ GİRİŞİ'!A28</f>
        <v>26</v>
      </c>
      <c r="B31" s="206" t="str">
        <f>CONCATENATE('BİLGİ GİRİŞİ'!B28," ",'BİLGİ GİRİŞİ'!C28)</f>
        <v xml:space="preserve"> </v>
      </c>
      <c r="C31" s="207">
        <f>'BİLGİ GİRİŞİ'!J28</f>
        <v>0</v>
      </c>
      <c r="D31" s="208">
        <f t="shared" si="2"/>
        <v>0</v>
      </c>
      <c r="E31" s="214">
        <f t="shared" si="3"/>
        <v>0</v>
      </c>
      <c r="F31" s="216"/>
      <c r="G31" s="216"/>
      <c r="H31" s="216"/>
      <c r="I31" s="216"/>
      <c r="J31" s="216"/>
      <c r="K31" s="208"/>
      <c r="L31" s="215"/>
      <c r="M31" s="215"/>
      <c r="N31" s="215"/>
      <c r="O31" s="215"/>
      <c r="P31" s="215"/>
      <c r="Q31" s="223"/>
    </row>
    <row r="32" spans="1:17" ht="14.25" hidden="1" customHeight="1" x14ac:dyDescent="0.2">
      <c r="A32" s="222">
        <f>'BİLGİ GİRİŞİ'!A29</f>
        <v>27</v>
      </c>
      <c r="B32" s="206" t="str">
        <f>CONCATENATE('BİLGİ GİRİŞİ'!B29," ",'BİLGİ GİRİŞİ'!C29)</f>
        <v xml:space="preserve"> </v>
      </c>
      <c r="C32" s="207">
        <f>'BİLGİ GİRİŞİ'!J29</f>
        <v>0</v>
      </c>
      <c r="D32" s="208">
        <f t="shared" si="2"/>
        <v>0</v>
      </c>
      <c r="E32" s="214">
        <f t="shared" si="3"/>
        <v>0</v>
      </c>
      <c r="F32" s="216"/>
      <c r="G32" s="216"/>
      <c r="H32" s="216"/>
      <c r="I32" s="216"/>
      <c r="J32" s="216"/>
      <c r="K32" s="208"/>
      <c r="L32" s="215"/>
      <c r="M32" s="215"/>
      <c r="N32" s="215"/>
      <c r="O32" s="215"/>
      <c r="P32" s="215"/>
      <c r="Q32" s="223"/>
    </row>
    <row r="33" spans="1:17" ht="14.25" hidden="1" customHeight="1" x14ac:dyDescent="0.2">
      <c r="A33" s="222">
        <f>'BİLGİ GİRİŞİ'!A30</f>
        <v>28</v>
      </c>
      <c r="B33" s="206" t="str">
        <f>CONCATENATE('BİLGİ GİRİŞİ'!B30," ",'BİLGİ GİRİŞİ'!C30)</f>
        <v xml:space="preserve"> </v>
      </c>
      <c r="C33" s="207">
        <f>'BİLGİ GİRİŞİ'!J30</f>
        <v>0</v>
      </c>
      <c r="D33" s="208">
        <f t="shared" si="2"/>
        <v>0</v>
      </c>
      <c r="E33" s="214">
        <f t="shared" si="3"/>
        <v>0</v>
      </c>
      <c r="F33" s="216"/>
      <c r="G33" s="216"/>
      <c r="H33" s="216"/>
      <c r="I33" s="216"/>
      <c r="J33" s="216"/>
      <c r="K33" s="208"/>
      <c r="L33" s="215"/>
      <c r="M33" s="215"/>
      <c r="N33" s="215"/>
      <c r="O33" s="215"/>
      <c r="P33" s="215"/>
      <c r="Q33" s="223"/>
    </row>
    <row r="34" spans="1:17" ht="14.25" hidden="1" customHeight="1" x14ac:dyDescent="0.2">
      <c r="A34" s="222">
        <f>'BİLGİ GİRİŞİ'!A31</f>
        <v>29</v>
      </c>
      <c r="B34" s="206" t="str">
        <f>CONCATENATE('BİLGİ GİRİŞİ'!B31," ",'BİLGİ GİRİŞİ'!C31)</f>
        <v xml:space="preserve"> </v>
      </c>
      <c r="C34" s="207">
        <f>'BİLGİ GİRİŞİ'!J31</f>
        <v>0</v>
      </c>
      <c r="D34" s="208">
        <f t="shared" si="2"/>
        <v>0</v>
      </c>
      <c r="E34" s="214">
        <f t="shared" si="3"/>
        <v>0</v>
      </c>
      <c r="F34" s="216"/>
      <c r="G34" s="216"/>
      <c r="H34" s="216"/>
      <c r="I34" s="216"/>
      <c r="J34" s="216"/>
      <c r="K34" s="208"/>
      <c r="L34" s="215"/>
      <c r="M34" s="215"/>
      <c r="N34" s="215"/>
      <c r="O34" s="215"/>
      <c r="P34" s="215"/>
      <c r="Q34" s="223"/>
    </row>
    <row r="35" spans="1:17" ht="14.25" hidden="1" customHeight="1" x14ac:dyDescent="0.2">
      <c r="A35" s="222">
        <f>'BİLGİ GİRİŞİ'!A32</f>
        <v>30</v>
      </c>
      <c r="B35" s="206" t="str">
        <f>CONCATENATE('BİLGİ GİRİŞİ'!B32," ",'BİLGİ GİRİŞİ'!C32)</f>
        <v xml:space="preserve"> </v>
      </c>
      <c r="C35" s="207">
        <f>'BİLGİ GİRİŞİ'!J32</f>
        <v>0</v>
      </c>
      <c r="D35" s="208">
        <f t="shared" si="2"/>
        <v>0</v>
      </c>
      <c r="E35" s="214">
        <f t="shared" si="3"/>
        <v>0</v>
      </c>
      <c r="F35" s="216"/>
      <c r="G35" s="216"/>
      <c r="H35" s="216"/>
      <c r="I35" s="216"/>
      <c r="J35" s="216"/>
      <c r="K35" s="208"/>
      <c r="L35" s="215"/>
      <c r="M35" s="215"/>
      <c r="N35" s="215"/>
      <c r="O35" s="215"/>
      <c r="P35" s="215"/>
      <c r="Q35" s="223"/>
    </row>
    <row r="36" spans="1:17" ht="14.25" hidden="1" customHeight="1" x14ac:dyDescent="0.2">
      <c r="A36" s="222">
        <f>'BİLGİ GİRİŞİ'!A33</f>
        <v>31</v>
      </c>
      <c r="B36" s="206" t="str">
        <f>CONCATENATE('BİLGİ GİRİŞİ'!B33," ",'BİLGİ GİRİŞİ'!C33)</f>
        <v xml:space="preserve"> </v>
      </c>
      <c r="C36" s="207">
        <f>'BİLGİ GİRİŞİ'!J33</f>
        <v>0</v>
      </c>
      <c r="D36" s="208">
        <f t="shared" si="2"/>
        <v>0</v>
      </c>
      <c r="E36" s="214">
        <f t="shared" si="3"/>
        <v>0</v>
      </c>
      <c r="F36" s="216"/>
      <c r="G36" s="216"/>
      <c r="H36" s="216"/>
      <c r="I36" s="216"/>
      <c r="J36" s="216"/>
      <c r="K36" s="208"/>
      <c r="L36" s="215"/>
      <c r="M36" s="215"/>
      <c r="N36" s="215"/>
      <c r="O36" s="215"/>
      <c r="P36" s="215"/>
      <c r="Q36" s="223"/>
    </row>
    <row r="37" spans="1:17" ht="14.25" hidden="1" customHeight="1" x14ac:dyDescent="0.2">
      <c r="A37" s="222">
        <f>'BİLGİ GİRİŞİ'!A34</f>
        <v>32</v>
      </c>
      <c r="B37" s="206" t="str">
        <f>CONCATENATE('BİLGİ GİRİŞİ'!B34," ",'BİLGİ GİRİŞİ'!C34)</f>
        <v xml:space="preserve"> </v>
      </c>
      <c r="C37" s="207">
        <f>'BİLGİ GİRİŞİ'!J34</f>
        <v>0</v>
      </c>
      <c r="D37" s="208">
        <f t="shared" si="2"/>
        <v>0</v>
      </c>
      <c r="E37" s="214">
        <f t="shared" si="3"/>
        <v>0</v>
      </c>
      <c r="F37" s="216"/>
      <c r="G37" s="216"/>
      <c r="H37" s="216"/>
      <c r="I37" s="216"/>
      <c r="J37" s="216"/>
      <c r="K37" s="208"/>
      <c r="L37" s="215"/>
      <c r="M37" s="215"/>
      <c r="N37" s="215"/>
      <c r="O37" s="215"/>
      <c r="P37" s="215"/>
      <c r="Q37" s="223"/>
    </row>
    <row r="38" spans="1:17" ht="14.25" hidden="1" customHeight="1" x14ac:dyDescent="0.2">
      <c r="A38" s="222">
        <f>'BİLGİ GİRİŞİ'!A35</f>
        <v>33</v>
      </c>
      <c r="B38" s="206" t="str">
        <f>CONCATENATE('BİLGİ GİRİŞİ'!B35," ",'BİLGİ GİRİŞİ'!C35)</f>
        <v xml:space="preserve"> </v>
      </c>
      <c r="C38" s="207">
        <f>'BİLGİ GİRİŞİ'!J35</f>
        <v>0</v>
      </c>
      <c r="D38" s="208">
        <f t="shared" si="2"/>
        <v>0</v>
      </c>
      <c r="E38" s="214">
        <f t="shared" si="3"/>
        <v>0</v>
      </c>
      <c r="F38" s="216"/>
      <c r="G38" s="216"/>
      <c r="H38" s="216"/>
      <c r="I38" s="216"/>
      <c r="J38" s="216"/>
      <c r="K38" s="208"/>
      <c r="L38" s="215"/>
      <c r="M38" s="215"/>
      <c r="N38" s="215"/>
      <c r="O38" s="215"/>
      <c r="P38" s="215"/>
      <c r="Q38" s="223"/>
    </row>
    <row r="39" spans="1:17" ht="14.25" hidden="1" customHeight="1" x14ac:dyDescent="0.2">
      <c r="A39" s="222">
        <f>'BİLGİ GİRİŞİ'!A36</f>
        <v>34</v>
      </c>
      <c r="B39" s="206" t="str">
        <f>CONCATENATE('BİLGİ GİRİŞİ'!B36," ",'BİLGİ GİRİŞİ'!C36)</f>
        <v xml:space="preserve"> </v>
      </c>
      <c r="C39" s="207">
        <f>'BİLGİ GİRİŞİ'!J36</f>
        <v>0</v>
      </c>
      <c r="D39" s="208">
        <f t="shared" si="2"/>
        <v>0</v>
      </c>
      <c r="E39" s="214">
        <f t="shared" si="3"/>
        <v>0</v>
      </c>
      <c r="F39" s="216"/>
      <c r="G39" s="216"/>
      <c r="H39" s="216"/>
      <c r="I39" s="216"/>
      <c r="J39" s="216"/>
      <c r="K39" s="208"/>
      <c r="L39" s="215"/>
      <c r="M39" s="215"/>
      <c r="N39" s="215"/>
      <c r="O39" s="215"/>
      <c r="P39" s="215"/>
      <c r="Q39" s="223"/>
    </row>
    <row r="40" spans="1:17" ht="14.25" hidden="1" customHeight="1" x14ac:dyDescent="0.2">
      <c r="A40" s="222">
        <f>'BİLGİ GİRİŞİ'!A37</f>
        <v>35</v>
      </c>
      <c r="B40" s="206" t="str">
        <f>CONCATENATE('BİLGİ GİRİŞİ'!B37," ",'BİLGİ GİRİŞİ'!C37)</f>
        <v xml:space="preserve"> </v>
      </c>
      <c r="C40" s="207">
        <f>'BİLGİ GİRİŞİ'!J37</f>
        <v>0</v>
      </c>
      <c r="D40" s="208">
        <f t="shared" si="2"/>
        <v>0</v>
      </c>
      <c r="E40" s="214">
        <f t="shared" si="3"/>
        <v>0</v>
      </c>
      <c r="F40" s="216"/>
      <c r="G40" s="216"/>
      <c r="H40" s="216"/>
      <c r="I40" s="216"/>
      <c r="J40" s="216"/>
      <c r="K40" s="208"/>
      <c r="L40" s="215"/>
      <c r="M40" s="215"/>
      <c r="N40" s="215"/>
      <c r="O40" s="215"/>
      <c r="P40" s="215"/>
      <c r="Q40" s="223"/>
    </row>
    <row r="41" spans="1:17" ht="14.25" hidden="1" customHeight="1" x14ac:dyDescent="0.2">
      <c r="A41" s="222">
        <f>'BİLGİ GİRİŞİ'!A38</f>
        <v>36</v>
      </c>
      <c r="B41" s="206" t="str">
        <f>CONCATENATE('BİLGİ GİRİŞİ'!B38," ",'BİLGİ GİRİŞİ'!C38)</f>
        <v xml:space="preserve"> </v>
      </c>
      <c r="C41" s="207">
        <f>'BİLGİ GİRİŞİ'!J38</f>
        <v>0</v>
      </c>
      <c r="D41" s="208">
        <f t="shared" si="2"/>
        <v>0</v>
      </c>
      <c r="E41" s="214">
        <f t="shared" si="3"/>
        <v>0</v>
      </c>
      <c r="F41" s="216"/>
      <c r="G41" s="216"/>
      <c r="H41" s="216"/>
      <c r="I41" s="216"/>
      <c r="J41" s="216"/>
      <c r="K41" s="208"/>
      <c r="L41" s="215"/>
      <c r="M41" s="215"/>
      <c r="N41" s="215"/>
      <c r="O41" s="215"/>
      <c r="P41" s="215"/>
      <c r="Q41" s="223"/>
    </row>
    <row r="42" spans="1:17" ht="14.25" hidden="1" customHeight="1" x14ac:dyDescent="0.2">
      <c r="A42" s="222">
        <f>'BİLGİ GİRİŞİ'!A39</f>
        <v>37</v>
      </c>
      <c r="B42" s="206" t="str">
        <f>CONCATENATE('BİLGİ GİRİŞİ'!B39," ",'BİLGİ GİRİŞİ'!C39)</f>
        <v xml:space="preserve"> </v>
      </c>
      <c r="C42" s="207">
        <f>'BİLGİ GİRİŞİ'!J39</f>
        <v>0</v>
      </c>
      <c r="D42" s="208">
        <f t="shared" si="2"/>
        <v>0</v>
      </c>
      <c r="E42" s="214">
        <f t="shared" si="3"/>
        <v>0</v>
      </c>
      <c r="F42" s="216"/>
      <c r="G42" s="216"/>
      <c r="H42" s="216"/>
      <c r="I42" s="216"/>
      <c r="J42" s="216"/>
      <c r="K42" s="208"/>
      <c r="L42" s="215"/>
      <c r="M42" s="215"/>
      <c r="N42" s="215"/>
      <c r="O42" s="215"/>
      <c r="P42" s="215"/>
      <c r="Q42" s="223"/>
    </row>
    <row r="43" spans="1:17" ht="14.25" hidden="1" customHeight="1" x14ac:dyDescent="0.2">
      <c r="A43" s="222">
        <f>'BİLGİ GİRİŞİ'!A40</f>
        <v>38</v>
      </c>
      <c r="B43" s="206" t="str">
        <f>CONCATENATE('BİLGİ GİRİŞİ'!B40," ",'BİLGİ GİRİŞİ'!C40)</f>
        <v xml:space="preserve"> </v>
      </c>
      <c r="C43" s="207">
        <f>'BİLGİ GİRİŞİ'!J40</f>
        <v>0</v>
      </c>
      <c r="D43" s="208">
        <f t="shared" si="2"/>
        <v>0</v>
      </c>
      <c r="E43" s="214">
        <f t="shared" si="3"/>
        <v>0</v>
      </c>
      <c r="F43" s="216"/>
      <c r="G43" s="216"/>
      <c r="H43" s="216"/>
      <c r="I43" s="216"/>
      <c r="J43" s="216"/>
      <c r="K43" s="208"/>
      <c r="L43" s="215"/>
      <c r="M43" s="215"/>
      <c r="N43" s="215"/>
      <c r="O43" s="215"/>
      <c r="P43" s="215"/>
      <c r="Q43" s="223"/>
    </row>
    <row r="44" spans="1:17" ht="14.25" hidden="1" customHeight="1" x14ac:dyDescent="0.2">
      <c r="A44" s="222">
        <f>'BİLGİ GİRİŞİ'!A41</f>
        <v>39</v>
      </c>
      <c r="B44" s="206" t="str">
        <f>CONCATENATE('BİLGİ GİRİŞİ'!B41," ",'BİLGİ GİRİŞİ'!C41)</f>
        <v xml:space="preserve"> </v>
      </c>
      <c r="C44" s="207">
        <f>'BİLGİ GİRİŞİ'!J41</f>
        <v>0</v>
      </c>
      <c r="D44" s="208">
        <f t="shared" si="2"/>
        <v>0</v>
      </c>
      <c r="E44" s="214">
        <f t="shared" si="3"/>
        <v>0</v>
      </c>
      <c r="F44" s="216"/>
      <c r="G44" s="216"/>
      <c r="H44" s="216"/>
      <c r="I44" s="216"/>
      <c r="J44" s="216"/>
      <c r="K44" s="208"/>
      <c r="L44" s="215"/>
      <c r="M44" s="215"/>
      <c r="N44" s="215"/>
      <c r="O44" s="215"/>
      <c r="P44" s="215"/>
      <c r="Q44" s="223"/>
    </row>
    <row r="45" spans="1:17" ht="14.25" hidden="1" customHeight="1" x14ac:dyDescent="0.2">
      <c r="A45" s="222">
        <f>'BİLGİ GİRİŞİ'!A42</f>
        <v>40</v>
      </c>
      <c r="B45" s="206" t="str">
        <f>CONCATENATE('BİLGİ GİRİŞİ'!B42," ",'BİLGİ GİRİŞİ'!C42)</f>
        <v xml:space="preserve"> </v>
      </c>
      <c r="C45" s="207">
        <f>'BİLGİ GİRİŞİ'!J42</f>
        <v>0</v>
      </c>
      <c r="D45" s="208">
        <f t="shared" si="2"/>
        <v>0</v>
      </c>
      <c r="E45" s="214">
        <f t="shared" si="3"/>
        <v>0</v>
      </c>
      <c r="F45" s="216"/>
      <c r="G45" s="216"/>
      <c r="H45" s="216"/>
      <c r="I45" s="216"/>
      <c r="J45" s="216"/>
      <c r="K45" s="208"/>
      <c r="L45" s="215"/>
      <c r="M45" s="215"/>
      <c r="N45" s="215"/>
      <c r="O45" s="215"/>
      <c r="P45" s="215"/>
      <c r="Q45" s="223"/>
    </row>
    <row r="46" spans="1:17" ht="14.25" hidden="1" customHeight="1" x14ac:dyDescent="0.2">
      <c r="A46" s="222">
        <f>'BİLGİ GİRİŞİ'!A43</f>
        <v>41</v>
      </c>
      <c r="B46" s="206" t="str">
        <f>CONCATENATE('BİLGİ GİRİŞİ'!B43," ",'BİLGİ GİRİŞİ'!C43)</f>
        <v xml:space="preserve"> </v>
      </c>
      <c r="C46" s="207">
        <f>'BİLGİ GİRİŞİ'!J43</f>
        <v>0</v>
      </c>
      <c r="D46" s="208">
        <f t="shared" si="2"/>
        <v>0</v>
      </c>
      <c r="E46" s="214">
        <f t="shared" si="3"/>
        <v>0</v>
      </c>
      <c r="F46" s="216"/>
      <c r="G46" s="216"/>
      <c r="H46" s="216"/>
      <c r="I46" s="216"/>
      <c r="J46" s="216"/>
      <c r="K46" s="208"/>
      <c r="L46" s="215"/>
      <c r="M46" s="215"/>
      <c r="N46" s="215"/>
      <c r="O46" s="215"/>
      <c r="P46" s="215"/>
      <c r="Q46" s="223"/>
    </row>
    <row r="47" spans="1:17" ht="14.25" hidden="1" customHeight="1" x14ac:dyDescent="0.2">
      <c r="A47" s="222">
        <f>'BİLGİ GİRİŞİ'!A44</f>
        <v>42</v>
      </c>
      <c r="B47" s="206" t="str">
        <f>CONCATENATE('BİLGİ GİRİŞİ'!B44," ",'BİLGİ GİRİŞİ'!C44)</f>
        <v xml:space="preserve"> </v>
      </c>
      <c r="C47" s="207">
        <f>'BİLGİ GİRİŞİ'!J44</f>
        <v>0</v>
      </c>
      <c r="D47" s="208">
        <f t="shared" si="2"/>
        <v>0</v>
      </c>
      <c r="E47" s="214">
        <f t="shared" si="3"/>
        <v>0</v>
      </c>
      <c r="F47" s="216"/>
      <c r="G47" s="216"/>
      <c r="H47" s="216"/>
      <c r="I47" s="216"/>
      <c r="J47" s="216"/>
      <c r="K47" s="208"/>
      <c r="L47" s="215"/>
      <c r="M47" s="215"/>
      <c r="N47" s="215"/>
      <c r="O47" s="215"/>
      <c r="P47" s="215"/>
      <c r="Q47" s="223"/>
    </row>
    <row r="48" spans="1:17" ht="14.25" hidden="1" customHeight="1" x14ac:dyDescent="0.2">
      <c r="A48" s="222">
        <f>'BİLGİ GİRİŞİ'!A45</f>
        <v>43</v>
      </c>
      <c r="B48" s="206" t="str">
        <f>CONCATENATE('BİLGİ GİRİŞİ'!B45," ",'BİLGİ GİRİŞİ'!C45)</f>
        <v xml:space="preserve"> </v>
      </c>
      <c r="C48" s="207">
        <f>'BİLGİ GİRİŞİ'!J45</f>
        <v>0</v>
      </c>
      <c r="D48" s="208">
        <f t="shared" si="2"/>
        <v>0</v>
      </c>
      <c r="E48" s="214">
        <f t="shared" si="3"/>
        <v>0</v>
      </c>
      <c r="F48" s="216"/>
      <c r="G48" s="216"/>
      <c r="H48" s="216"/>
      <c r="I48" s="216"/>
      <c r="J48" s="216"/>
      <c r="K48" s="208"/>
      <c r="L48" s="215"/>
      <c r="M48" s="215"/>
      <c r="N48" s="215"/>
      <c r="O48" s="215"/>
      <c r="P48" s="215"/>
      <c r="Q48" s="223"/>
    </row>
    <row r="49" spans="1:17" ht="14.25" hidden="1" customHeight="1" x14ac:dyDescent="0.2">
      <c r="A49" s="222">
        <f>'BİLGİ GİRİŞİ'!A46</f>
        <v>44</v>
      </c>
      <c r="B49" s="206" t="str">
        <f>CONCATENATE('BİLGİ GİRİŞİ'!B46," ",'BİLGİ GİRİŞİ'!C46)</f>
        <v xml:space="preserve"> </v>
      </c>
      <c r="C49" s="207">
        <f>'BİLGİ GİRİŞİ'!J46</f>
        <v>0</v>
      </c>
      <c r="D49" s="208">
        <f t="shared" si="2"/>
        <v>0</v>
      </c>
      <c r="E49" s="214">
        <f t="shared" si="3"/>
        <v>0</v>
      </c>
      <c r="F49" s="216"/>
      <c r="G49" s="216"/>
      <c r="H49" s="216"/>
      <c r="I49" s="216"/>
      <c r="J49" s="216"/>
      <c r="K49" s="208"/>
      <c r="L49" s="215"/>
      <c r="M49" s="215"/>
      <c r="N49" s="215"/>
      <c r="O49" s="215"/>
      <c r="P49" s="215"/>
      <c r="Q49" s="223"/>
    </row>
    <row r="50" spans="1:17" ht="14.25" hidden="1" customHeight="1" x14ac:dyDescent="0.2">
      <c r="A50" s="222">
        <f>'BİLGİ GİRİŞİ'!A47</f>
        <v>45</v>
      </c>
      <c r="B50" s="206" t="str">
        <f>CONCATENATE('BİLGİ GİRİŞİ'!B47," ",'BİLGİ GİRİŞİ'!C47)</f>
        <v xml:space="preserve"> </v>
      </c>
      <c r="C50" s="207">
        <f>'BİLGİ GİRİŞİ'!J47</f>
        <v>0</v>
      </c>
      <c r="D50" s="208">
        <f t="shared" si="2"/>
        <v>0</v>
      </c>
      <c r="E50" s="214">
        <f t="shared" si="3"/>
        <v>0</v>
      </c>
      <c r="F50" s="216"/>
      <c r="G50" s="216"/>
      <c r="H50" s="216"/>
      <c r="I50" s="216"/>
      <c r="J50" s="216"/>
      <c r="K50" s="208"/>
      <c r="L50" s="215"/>
      <c r="M50" s="215"/>
      <c r="N50" s="215"/>
      <c r="O50" s="215"/>
      <c r="P50" s="215"/>
      <c r="Q50" s="223"/>
    </row>
    <row r="51" spans="1:17" ht="14.25" hidden="1" customHeight="1" x14ac:dyDescent="0.2">
      <c r="A51" s="222">
        <f>'BİLGİ GİRİŞİ'!A48</f>
        <v>46</v>
      </c>
      <c r="B51" s="206" t="str">
        <f>CONCATENATE('BİLGİ GİRİŞİ'!B48," ",'BİLGİ GİRİŞİ'!C48)</f>
        <v xml:space="preserve"> </v>
      </c>
      <c r="C51" s="207">
        <f>'BİLGİ GİRİŞİ'!J48</f>
        <v>0</v>
      </c>
      <c r="D51" s="208">
        <f t="shared" si="2"/>
        <v>0</v>
      </c>
      <c r="E51" s="214">
        <f t="shared" si="3"/>
        <v>0</v>
      </c>
      <c r="F51" s="216"/>
      <c r="G51" s="216"/>
      <c r="H51" s="216"/>
      <c r="I51" s="216"/>
      <c r="J51" s="216"/>
      <c r="K51" s="208"/>
      <c r="L51" s="215"/>
      <c r="M51" s="215"/>
      <c r="N51" s="215"/>
      <c r="O51" s="215"/>
      <c r="P51" s="215"/>
      <c r="Q51" s="223"/>
    </row>
    <row r="52" spans="1:17" ht="14.25" hidden="1" customHeight="1" x14ac:dyDescent="0.2">
      <c r="A52" s="222">
        <f>'BİLGİ GİRİŞİ'!A49</f>
        <v>47</v>
      </c>
      <c r="B52" s="206" t="str">
        <f>CONCATENATE('BİLGİ GİRİŞİ'!B49," ",'BİLGİ GİRİŞİ'!C49)</f>
        <v xml:space="preserve"> </v>
      </c>
      <c r="C52" s="207">
        <f>'BİLGİ GİRİŞİ'!J49</f>
        <v>0</v>
      </c>
      <c r="D52" s="208">
        <f t="shared" si="2"/>
        <v>0</v>
      </c>
      <c r="E52" s="214">
        <f t="shared" si="3"/>
        <v>0</v>
      </c>
      <c r="F52" s="216"/>
      <c r="G52" s="216"/>
      <c r="H52" s="216"/>
      <c r="I52" s="216"/>
      <c r="J52" s="216"/>
      <c r="K52" s="208"/>
      <c r="L52" s="215"/>
      <c r="M52" s="215"/>
      <c r="N52" s="215"/>
      <c r="O52" s="215"/>
      <c r="P52" s="215"/>
      <c r="Q52" s="223"/>
    </row>
    <row r="53" spans="1:17" ht="14.25" hidden="1" customHeight="1" x14ac:dyDescent="0.2">
      <c r="A53" s="222">
        <f>'BİLGİ GİRİŞİ'!A50</f>
        <v>48</v>
      </c>
      <c r="B53" s="206" t="str">
        <f>CONCATENATE('BİLGİ GİRİŞİ'!B50," ",'BİLGİ GİRİŞİ'!C50)</f>
        <v xml:space="preserve"> </v>
      </c>
      <c r="C53" s="207">
        <f>'BİLGİ GİRİŞİ'!J50</f>
        <v>0</v>
      </c>
      <c r="D53" s="208">
        <f t="shared" si="2"/>
        <v>0</v>
      </c>
      <c r="E53" s="214">
        <f t="shared" si="3"/>
        <v>0</v>
      </c>
      <c r="F53" s="216"/>
      <c r="G53" s="216"/>
      <c r="H53" s="216"/>
      <c r="I53" s="216"/>
      <c r="J53" s="216"/>
      <c r="K53" s="208"/>
      <c r="L53" s="215"/>
      <c r="M53" s="215"/>
      <c r="N53" s="215"/>
      <c r="O53" s="215"/>
      <c r="P53" s="215"/>
      <c r="Q53" s="223"/>
    </row>
    <row r="54" spans="1:17" ht="14.25" hidden="1" customHeight="1" x14ac:dyDescent="0.2">
      <c r="A54" s="222"/>
      <c r="B54" s="206"/>
      <c r="C54" s="207"/>
      <c r="D54" s="208"/>
      <c r="E54" s="214"/>
      <c r="F54" s="216"/>
      <c r="G54" s="216"/>
      <c r="H54" s="216"/>
      <c r="I54" s="216"/>
      <c r="J54" s="216"/>
      <c r="K54" s="208"/>
      <c r="L54" s="215"/>
      <c r="M54" s="215"/>
      <c r="N54" s="215"/>
      <c r="O54" s="215"/>
      <c r="P54" s="215"/>
      <c r="Q54" s="223"/>
    </row>
    <row r="55" spans="1:17" ht="14.25" customHeight="1" x14ac:dyDescent="0.2">
      <c r="A55" s="222"/>
      <c r="B55" s="206"/>
      <c r="C55" s="207"/>
      <c r="D55" s="208"/>
      <c r="E55" s="214"/>
      <c r="F55" s="216"/>
      <c r="G55" s="216"/>
      <c r="H55" s="216"/>
      <c r="I55" s="216"/>
      <c r="J55" s="216"/>
      <c r="K55" s="208"/>
      <c r="L55" s="215"/>
      <c r="M55" s="215"/>
      <c r="N55" s="215"/>
      <c r="O55" s="215"/>
      <c r="P55" s="215"/>
      <c r="Q55" s="223"/>
    </row>
    <row r="56" spans="1:17" ht="14.25" customHeight="1" thickBot="1" x14ac:dyDescent="0.25">
      <c r="A56" s="492" t="s">
        <v>5</v>
      </c>
      <c r="B56" s="493"/>
      <c r="C56" s="493"/>
      <c r="D56" s="494"/>
      <c r="E56" s="224">
        <f>SUM(E6:E55)</f>
        <v>1876.5</v>
      </c>
      <c r="F56" s="225">
        <f>SUM(F6:F55)</f>
        <v>1258.1999999999998</v>
      </c>
      <c r="G56" s="225">
        <f t="shared" ref="G56:Q56" si="4">SUM(G6:G55)</f>
        <v>0</v>
      </c>
      <c r="H56" s="225">
        <f t="shared" si="4"/>
        <v>0</v>
      </c>
      <c r="I56" s="225">
        <f t="shared" si="4"/>
        <v>0</v>
      </c>
      <c r="J56" s="225">
        <f t="shared" si="4"/>
        <v>0</v>
      </c>
      <c r="K56" s="226">
        <f t="shared" si="4"/>
        <v>0</v>
      </c>
      <c r="L56" s="227">
        <f t="shared" si="4"/>
        <v>0</v>
      </c>
      <c r="M56" s="227">
        <f t="shared" si="4"/>
        <v>0</v>
      </c>
      <c r="N56" s="227">
        <f t="shared" si="4"/>
        <v>0</v>
      </c>
      <c r="O56" s="227">
        <f t="shared" si="4"/>
        <v>0</v>
      </c>
      <c r="P56" s="227">
        <f t="shared" si="4"/>
        <v>0</v>
      </c>
      <c r="Q56" s="228">
        <f t="shared" si="4"/>
        <v>0</v>
      </c>
    </row>
    <row r="57" spans="1:17" x14ac:dyDescent="0.2">
      <c r="A57" s="211" t="s">
        <v>274</v>
      </c>
      <c r="B57" s="489" t="s">
        <v>170</v>
      </c>
      <c r="C57" s="489"/>
      <c r="D57" s="489"/>
      <c r="E57" s="489"/>
      <c r="F57" s="489"/>
      <c r="G57" s="489"/>
      <c r="H57" s="489"/>
      <c r="I57" s="489"/>
      <c r="J57" s="489"/>
      <c r="K57" s="489"/>
      <c r="L57" s="489"/>
      <c r="M57" s="489"/>
      <c r="N57" s="489"/>
      <c r="O57" s="489"/>
      <c r="P57" s="489"/>
      <c r="Q57" s="489"/>
    </row>
    <row r="58" spans="1:17" x14ac:dyDescent="0.2">
      <c r="A58" s="482"/>
      <c r="B58" s="482"/>
      <c r="C58" s="482"/>
      <c r="D58" s="482"/>
      <c r="E58" s="482"/>
      <c r="F58" s="482"/>
    </row>
    <row r="59" spans="1:17" ht="24.75" customHeight="1" x14ac:dyDescent="0.2">
      <c r="A59" s="212" t="s">
        <v>171</v>
      </c>
      <c r="B59" s="481" t="s">
        <v>172</v>
      </c>
      <c r="C59" s="481"/>
      <c r="D59" s="481"/>
      <c r="E59" s="481"/>
      <c r="F59" s="481"/>
      <c r="G59" s="481"/>
      <c r="H59" s="481"/>
      <c r="I59" s="481"/>
      <c r="J59" s="481"/>
      <c r="K59" s="481"/>
      <c r="L59" s="481"/>
      <c r="M59" s="481"/>
      <c r="N59" s="481"/>
      <c r="O59" s="481"/>
      <c r="P59" s="481"/>
      <c r="Q59" s="481"/>
    </row>
    <row r="60" spans="1:17" ht="23.25" customHeight="1" x14ac:dyDescent="0.2">
      <c r="A60" s="213" t="s">
        <v>173</v>
      </c>
      <c r="B60" s="481" t="s">
        <v>174</v>
      </c>
      <c r="C60" s="481"/>
      <c r="D60" s="481"/>
      <c r="E60" s="481"/>
      <c r="F60" s="481"/>
      <c r="G60" s="481"/>
      <c r="H60" s="481"/>
      <c r="I60" s="481"/>
      <c r="J60" s="481"/>
      <c r="K60" s="481"/>
      <c r="L60" s="481"/>
      <c r="M60" s="481"/>
      <c r="N60" s="481"/>
      <c r="O60" s="481"/>
      <c r="P60" s="481"/>
      <c r="Q60" s="481"/>
    </row>
    <row r="61" spans="1:17" ht="28.5" customHeight="1" x14ac:dyDescent="0.2">
      <c r="A61" s="213" t="s">
        <v>175</v>
      </c>
      <c r="B61" s="481" t="s">
        <v>176</v>
      </c>
      <c r="C61" s="481"/>
      <c r="D61" s="481"/>
      <c r="E61" s="481"/>
      <c r="F61" s="481"/>
      <c r="G61" s="481"/>
      <c r="H61" s="481"/>
      <c r="I61" s="481"/>
      <c r="J61" s="481"/>
      <c r="K61" s="481"/>
      <c r="L61" s="481"/>
      <c r="M61" s="481"/>
      <c r="N61" s="481"/>
      <c r="O61" s="481"/>
      <c r="P61" s="481"/>
      <c r="Q61" s="481"/>
    </row>
    <row r="62" spans="1:17" ht="27.75" customHeight="1" x14ac:dyDescent="0.2">
      <c r="A62" s="213" t="s">
        <v>177</v>
      </c>
      <c r="B62" s="481" t="s">
        <v>178</v>
      </c>
      <c r="C62" s="481"/>
      <c r="D62" s="481"/>
      <c r="E62" s="481"/>
      <c r="F62" s="481"/>
      <c r="G62" s="481"/>
      <c r="H62" s="481"/>
      <c r="I62" s="481"/>
      <c r="J62" s="481"/>
      <c r="K62" s="481"/>
      <c r="L62" s="481"/>
      <c r="M62" s="481"/>
      <c r="N62" s="481"/>
      <c r="O62" s="481"/>
      <c r="P62" s="481"/>
      <c r="Q62" s="481"/>
    </row>
    <row r="63" spans="1:17" ht="26.25" customHeight="1" x14ac:dyDescent="0.2">
      <c r="A63" s="212" t="s">
        <v>179</v>
      </c>
      <c r="B63" s="481" t="s">
        <v>180</v>
      </c>
      <c r="C63" s="481"/>
      <c r="D63" s="481"/>
      <c r="E63" s="481"/>
      <c r="F63" s="481"/>
      <c r="G63" s="481"/>
      <c r="H63" s="481"/>
      <c r="I63" s="481"/>
      <c r="J63" s="481"/>
      <c r="K63" s="481"/>
      <c r="L63" s="481"/>
      <c r="M63" s="481"/>
      <c r="N63" s="481"/>
      <c r="O63" s="481"/>
      <c r="P63" s="481"/>
      <c r="Q63" s="481"/>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17" sqref="C1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497" t="s">
        <v>134</v>
      </c>
      <c r="B1" s="497"/>
      <c r="C1" s="497"/>
      <c r="D1" s="497"/>
    </row>
    <row r="2" spans="1:4" x14ac:dyDescent="0.2">
      <c r="A2" s="99"/>
      <c r="B2" s="99"/>
      <c r="C2" s="114"/>
      <c r="D2" s="100"/>
    </row>
    <row r="3" spans="1:4" ht="32.25" customHeight="1" x14ac:dyDescent="0.2">
      <c r="A3" s="502" t="s">
        <v>10</v>
      </c>
      <c r="B3" s="503"/>
      <c r="C3" s="498" t="s">
        <v>270</v>
      </c>
      <c r="D3" s="498"/>
    </row>
    <row r="4" spans="1:4" ht="15.75" customHeight="1" x14ac:dyDescent="0.2">
      <c r="A4" s="101" t="s">
        <v>11</v>
      </c>
      <c r="B4" s="101"/>
      <c r="C4" s="499" t="s">
        <v>271</v>
      </c>
      <c r="D4" s="499"/>
    </row>
    <row r="5" spans="1:4" ht="15.75" customHeight="1" x14ac:dyDescent="0.2">
      <c r="A5" s="101" t="s">
        <v>12</v>
      </c>
      <c r="B5" s="101"/>
      <c r="C5" s="500" t="str">
        <f>CONCATENATE(KONTROL!C1,"-",KONTROL!C2)</f>
        <v>NİSAN-2022</v>
      </c>
      <c r="D5" s="501"/>
    </row>
    <row r="6" spans="1:4" ht="12" customHeight="1" x14ac:dyDescent="0.2">
      <c r="A6" s="102"/>
      <c r="B6" s="103"/>
      <c r="C6" s="131"/>
      <c r="D6" s="104"/>
    </row>
    <row r="7" spans="1:4" ht="12" customHeight="1" x14ac:dyDescent="0.2">
      <c r="A7" s="507" t="s">
        <v>13</v>
      </c>
      <c r="B7" s="510" t="s">
        <v>188</v>
      </c>
      <c r="C7" s="513" t="s">
        <v>240</v>
      </c>
      <c r="D7" s="510" t="s">
        <v>187</v>
      </c>
    </row>
    <row r="8" spans="1:4" ht="12" customHeight="1" x14ac:dyDescent="0.2">
      <c r="A8" s="508"/>
      <c r="B8" s="511"/>
      <c r="C8" s="514"/>
      <c r="D8" s="511"/>
    </row>
    <row r="9" spans="1:4" ht="16.149999999999999" customHeight="1" x14ac:dyDescent="0.2">
      <c r="A9" s="509"/>
      <c r="B9" s="512"/>
      <c r="C9" s="515"/>
      <c r="D9" s="512"/>
    </row>
    <row r="10" spans="1:4" ht="19.149999999999999" customHeight="1" x14ac:dyDescent="0.2">
      <c r="A10" s="105">
        <v>1</v>
      </c>
      <c r="B10" s="106" t="str">
        <f>CONCATENATE('BİLGİ GİRİŞİ'!B3," ",'BİLGİ GİRİŞİ'!C3)</f>
        <v>ESRA GÜMÜŞ</v>
      </c>
      <c r="C10" s="107" t="str">
        <f>'BİLGİ GİRİŞİ'!E3</f>
        <v>TR800001000396620813885002</v>
      </c>
      <c r="D10" s="129">
        <f>BORDRO!AC8</f>
        <v>3401.71</v>
      </c>
    </row>
    <row r="11" spans="1:4" ht="20.100000000000001" customHeight="1" x14ac:dyDescent="0.2">
      <c r="A11" s="105">
        <v>2</v>
      </c>
      <c r="B11" s="106" t="str">
        <f>CONCATENATE('BİLGİ GİRİŞİ'!B4," ",'BİLGİ GİRİŞİ'!C4)</f>
        <v>ŞERİFE GÜNAL</v>
      </c>
      <c r="C11" s="107" t="str">
        <f>'BİLGİ GİRİŞİ'!E4</f>
        <v>TR910001000396574803915009</v>
      </c>
      <c r="D11" s="129">
        <f>BORDRO!AC9</f>
        <v>2324.5</v>
      </c>
    </row>
    <row r="12" spans="1:4" ht="19.5" customHeight="1" x14ac:dyDescent="0.2">
      <c r="A12" s="105">
        <v>3</v>
      </c>
      <c r="B12" s="106" t="str">
        <f>CONCATENATE('BİLGİ GİRİŞİ'!B5," ",'BİLGİ GİRİŞİ'!C5)</f>
        <v>HATİCE SUCU</v>
      </c>
      <c r="C12" s="107" t="str">
        <f>'BİLGİ GİRİŞİ'!E5</f>
        <v>TR370001000396507760435002</v>
      </c>
      <c r="D12" s="129">
        <f>BORDRO!AC10</f>
        <v>1360.6799999999998</v>
      </c>
    </row>
    <row r="13" spans="1:4" ht="19.5" customHeight="1" x14ac:dyDescent="0.2">
      <c r="A13" s="105">
        <v>4</v>
      </c>
      <c r="B13" s="106" t="str">
        <f>CONCATENATE('BİLGİ GİRİŞİ'!B6," ",'BİLGİ GİRİŞİ'!C6)</f>
        <v>YASİN DAYANKAÇ</v>
      </c>
      <c r="C13" s="197" t="str">
        <f>'BİLGİ GİRİŞİ'!E6</f>
        <v>TR920001000396598882535003</v>
      </c>
      <c r="D13" s="198">
        <f>BORDRO!AC11</f>
        <v>2591.7800000000002</v>
      </c>
    </row>
    <row r="14" spans="1:4" ht="18.75" customHeight="1" x14ac:dyDescent="0.2">
      <c r="A14" s="105">
        <v>5</v>
      </c>
      <c r="B14" s="106" t="str">
        <f>CONCATENATE('BİLGİ GİRİŞİ'!B7," ",'BİLGİ GİRİŞİ'!C7)</f>
        <v>REFİYE RANA TOK</v>
      </c>
      <c r="C14" s="197" t="str">
        <f>'BİLGİ GİRİŞİ'!E7</f>
        <v>TR370001000396586635445003</v>
      </c>
      <c r="D14" s="198">
        <f>BORDRO!AC12</f>
        <v>3923.1000000000004</v>
      </c>
    </row>
    <row r="15" spans="1:4" ht="20.100000000000001" customHeight="1" x14ac:dyDescent="0.2">
      <c r="A15" s="105">
        <v>6</v>
      </c>
      <c r="B15" s="106" t="str">
        <f>CONCATENATE('BİLGİ GİRİŞİ'!B8," ",'BİLGİ GİRİŞİ'!C8)</f>
        <v>YUSUF ARABACI</v>
      </c>
      <c r="C15" s="197">
        <f>'BİLGİ GİRİŞİ'!E8</f>
        <v>0</v>
      </c>
      <c r="D15" s="198">
        <f>BORDRO!AC13</f>
        <v>1538.8700000000003</v>
      </c>
    </row>
    <row r="16" spans="1:4" ht="20.100000000000001" customHeight="1" x14ac:dyDescent="0.2">
      <c r="A16" s="105">
        <v>7</v>
      </c>
      <c r="B16" s="106" t="str">
        <f>CONCATENATE('BİLGİ GİRİŞİ'!B9," ",'BİLGİ GİRİŞİ'!C9)</f>
        <v>ASLI ÜSTELİK</v>
      </c>
      <c r="C16" s="197">
        <f>'BİLGİ GİRİŞİ'!E9</f>
        <v>0</v>
      </c>
      <c r="D16" s="198">
        <f>BORDRO!AC14</f>
        <v>2126.0700000000002</v>
      </c>
    </row>
    <row r="17" spans="1:4" ht="20.100000000000001" customHeight="1" x14ac:dyDescent="0.2">
      <c r="A17" s="105">
        <v>8</v>
      </c>
      <c r="B17" s="106" t="str">
        <f>CONCATENATE('BİLGİ GİRİŞİ'!B10," ",'BİLGİ GİRİŞİ'!C10)</f>
        <v>ÖZNUR ATACAN</v>
      </c>
      <c r="C17" s="197">
        <f>'BİLGİ GİRİŞİ'!E10</f>
        <v>0</v>
      </c>
      <c r="D17" s="198">
        <f>BORDRO!AC15</f>
        <v>3401.71</v>
      </c>
    </row>
    <row r="18" spans="1:4" ht="20.100000000000001" customHeight="1" x14ac:dyDescent="0.2">
      <c r="A18" s="105">
        <v>9</v>
      </c>
      <c r="B18" s="106" t="str">
        <f>CONCATENATE('BİLGİ GİRİŞİ'!B11," ",'BİLGİ GİRİŞİ'!C11)</f>
        <v>YASEMİN TOKTAŞ</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04" t="s">
        <v>5</v>
      </c>
      <c r="B60" s="505"/>
      <c r="C60" s="506"/>
      <c r="D60" s="130">
        <f>SUM(D10:D59)</f>
        <v>20668.420000000002</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495" t="s">
        <v>150</v>
      </c>
      <c r="B64" s="495"/>
      <c r="C64" s="495" t="s">
        <v>153</v>
      </c>
      <c r="D64" s="495"/>
    </row>
    <row r="65" spans="1:4" ht="20.100000000000001" customHeight="1" x14ac:dyDescent="0.2">
      <c r="A65" s="1"/>
      <c r="B65" s="98"/>
      <c r="C65" s="113"/>
      <c r="D65" s="128"/>
    </row>
    <row r="66" spans="1:4" ht="20.100000000000001" customHeight="1" x14ac:dyDescent="0.2">
      <c r="A66" s="495" t="s">
        <v>272</v>
      </c>
      <c r="B66" s="495"/>
      <c r="C66" s="496" t="s">
        <v>273</v>
      </c>
      <c r="D66" s="496"/>
    </row>
    <row r="67" spans="1:4" ht="20.100000000000001" customHeight="1" x14ac:dyDescent="0.2">
      <c r="A67" s="495" t="s">
        <v>265</v>
      </c>
      <c r="B67" s="495"/>
      <c r="C67" s="496" t="s">
        <v>258</v>
      </c>
      <c r="D67" s="496"/>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18" t="s">
        <v>248</v>
      </c>
      <c r="B1" s="518"/>
      <c r="C1" s="518"/>
      <c r="D1" s="518"/>
      <c r="E1" s="518"/>
      <c r="F1" s="518"/>
    </row>
    <row r="2" spans="1:6" x14ac:dyDescent="0.2">
      <c r="B2" s="149"/>
      <c r="C2" s="150"/>
      <c r="D2" s="149"/>
    </row>
    <row r="3" spans="1:6" x14ac:dyDescent="0.2">
      <c r="A3" s="151" t="s">
        <v>10</v>
      </c>
      <c r="B3" s="146"/>
      <c r="C3" s="517" t="s">
        <v>260</v>
      </c>
      <c r="D3" s="517"/>
      <c r="E3" s="517"/>
      <c r="F3" s="517"/>
    </row>
    <row r="4" spans="1:6" x14ac:dyDescent="0.2">
      <c r="A4" s="151" t="s">
        <v>12</v>
      </c>
      <c r="B4" s="152"/>
      <c r="C4" s="152" t="str">
        <f>CONCATENATE(KONTROL!C1,"-",KONTROL!C2)</f>
        <v>NİSAN-2022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16" t="s">
        <v>5</v>
      </c>
      <c r="B10" s="516"/>
      <c r="C10" s="516"/>
      <c r="D10" s="516"/>
      <c r="E10" s="516"/>
      <c r="F10" s="160">
        <f>SUM(F7:F9)</f>
        <v>0</v>
      </c>
    </row>
    <row r="14" spans="1:6" x14ac:dyDescent="0.2">
      <c r="A14" s="158"/>
    </row>
    <row r="15" spans="1:6" x14ac:dyDescent="0.2">
      <c r="A15" s="519" t="s">
        <v>150</v>
      </c>
      <c r="B15" s="520"/>
      <c r="D15" s="519" t="s">
        <v>259</v>
      </c>
      <c r="E15" s="520"/>
      <c r="F15" s="520"/>
    </row>
    <row r="16" spans="1:6" x14ac:dyDescent="0.2">
      <c r="A16" s="519"/>
      <c r="B16" s="520"/>
      <c r="D16" s="519" t="s">
        <v>153</v>
      </c>
      <c r="E16" s="520"/>
      <c r="F16" s="520"/>
    </row>
    <row r="17" spans="1:6" x14ac:dyDescent="0.2">
      <c r="A17" s="521" t="e">
        <f>BORDRO!#REF!</f>
        <v>#REF!</v>
      </c>
      <c r="B17" s="521"/>
      <c r="D17" s="522" t="e">
        <f>BORDRO!#REF!</f>
        <v>#REF!</v>
      </c>
      <c r="E17" s="520"/>
      <c r="F17" s="520"/>
    </row>
    <row r="18" spans="1:6" x14ac:dyDescent="0.2">
      <c r="A18" s="520"/>
      <c r="B18" s="520"/>
      <c r="D18" s="520"/>
      <c r="E18" s="520"/>
      <c r="F18" s="520"/>
    </row>
    <row r="19" spans="1:6" x14ac:dyDescent="0.2">
      <c r="A19" s="519"/>
      <c r="B19" s="520"/>
      <c r="D19" s="519"/>
      <c r="E19" s="520"/>
      <c r="F19" s="520"/>
    </row>
    <row r="20" spans="1:6" x14ac:dyDescent="0.2">
      <c r="A20" s="519"/>
      <c r="B20" s="520"/>
      <c r="D20" s="519"/>
      <c r="E20" s="520"/>
      <c r="F20" s="520"/>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615" t="s">
        <v>61</v>
      </c>
      <c r="J1" s="615"/>
      <c r="K1" s="615"/>
      <c r="L1" s="615"/>
      <c r="M1" s="615"/>
      <c r="N1" s="615"/>
      <c r="O1" s="615"/>
      <c r="P1" s="615"/>
      <c r="Q1" s="615"/>
      <c r="R1" s="615"/>
      <c r="S1" s="615"/>
      <c r="T1" s="615"/>
      <c r="U1" s="615"/>
      <c r="V1" s="615"/>
      <c r="W1" s="615"/>
      <c r="X1" s="615"/>
      <c r="Y1" s="615"/>
      <c r="Z1" s="615"/>
      <c r="AA1" s="615"/>
      <c r="AB1" s="615"/>
      <c r="AC1" s="615"/>
      <c r="AD1" s="615"/>
      <c r="AE1" s="615"/>
      <c r="AF1" s="615"/>
      <c r="AG1" s="615"/>
      <c r="AQ1" s="55" t="s">
        <v>62</v>
      </c>
    </row>
    <row r="2" spans="2:44" ht="10.5" customHeight="1" x14ac:dyDescent="0.2">
      <c r="B2" s="655" t="s">
        <v>63</v>
      </c>
      <c r="C2" s="655"/>
      <c r="D2" s="655"/>
      <c r="E2" s="655"/>
      <c r="F2" s="655"/>
      <c r="G2" s="655"/>
      <c r="H2" s="656"/>
      <c r="I2" s="657" t="s">
        <v>14</v>
      </c>
      <c r="J2" s="564" t="s">
        <v>64</v>
      </c>
      <c r="K2" s="562"/>
      <c r="L2" s="562"/>
      <c r="M2" s="563"/>
      <c r="N2" s="658" t="s">
        <v>65</v>
      </c>
      <c r="O2" s="658"/>
      <c r="P2" s="658"/>
      <c r="Q2" s="658"/>
      <c r="R2" s="564" t="s">
        <v>66</v>
      </c>
      <c r="S2" s="562"/>
      <c r="T2" s="562"/>
      <c r="U2" s="562"/>
      <c r="V2" s="562"/>
      <c r="W2" s="562"/>
      <c r="X2" s="563"/>
      <c r="Y2" s="564" t="s">
        <v>16</v>
      </c>
      <c r="Z2" s="563"/>
      <c r="AA2" s="558" t="s">
        <v>17</v>
      </c>
      <c r="AB2" s="560"/>
      <c r="AC2" s="659" t="s">
        <v>67</v>
      </c>
      <c r="AD2" s="659"/>
      <c r="AE2" s="660" t="s">
        <v>68</v>
      </c>
      <c r="AF2" s="660"/>
      <c r="AG2" s="660"/>
      <c r="AI2" s="565" t="s">
        <v>69</v>
      </c>
      <c r="AJ2" s="566"/>
      <c r="AK2" s="566"/>
      <c r="AL2" s="566"/>
      <c r="AM2" s="566"/>
      <c r="AN2" s="566"/>
      <c r="AO2" s="566"/>
      <c r="AP2" s="566"/>
      <c r="AQ2" s="566"/>
      <c r="AR2" s="567"/>
    </row>
    <row r="3" spans="2:44" ht="9" customHeight="1" x14ac:dyDescent="0.2">
      <c r="B3" s="655"/>
      <c r="C3" s="655"/>
      <c r="D3" s="655"/>
      <c r="E3" s="655"/>
      <c r="F3" s="655"/>
      <c r="G3" s="655"/>
      <c r="H3" s="656"/>
      <c r="I3" s="615"/>
      <c r="J3" s="544"/>
      <c r="K3" s="542"/>
      <c r="L3" s="542"/>
      <c r="M3" s="543"/>
      <c r="N3" s="611" t="s">
        <v>70</v>
      </c>
      <c r="O3" s="611"/>
      <c r="P3" s="646" t="s">
        <v>71</v>
      </c>
      <c r="Q3" s="646"/>
      <c r="R3" s="544"/>
      <c r="S3" s="542"/>
      <c r="T3" s="542"/>
      <c r="U3" s="542"/>
      <c r="V3" s="542"/>
      <c r="W3" s="542"/>
      <c r="X3" s="543"/>
      <c r="Y3" s="544"/>
      <c r="Z3" s="543"/>
      <c r="AA3" s="551"/>
      <c r="AB3" s="553"/>
      <c r="AC3" s="659"/>
      <c r="AD3" s="659"/>
      <c r="AE3" s="660"/>
      <c r="AF3" s="660"/>
      <c r="AG3" s="660"/>
      <c r="AI3" s="523"/>
      <c r="AJ3" s="524"/>
      <c r="AK3" s="524"/>
      <c r="AL3" s="524"/>
      <c r="AM3" s="524"/>
      <c r="AN3" s="524"/>
      <c r="AO3" s="524"/>
      <c r="AP3" s="524"/>
      <c r="AQ3" s="524"/>
      <c r="AR3" s="571"/>
    </row>
    <row r="4" spans="2:44" x14ac:dyDescent="0.2">
      <c r="B4" s="647" t="s">
        <v>72</v>
      </c>
      <c r="C4" s="647"/>
      <c r="D4" s="647"/>
      <c r="E4" s="647"/>
      <c r="F4" s="647"/>
      <c r="G4" s="647"/>
      <c r="H4" s="647"/>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637" t="s">
        <v>74</v>
      </c>
      <c r="AJ4" s="639"/>
      <c r="AK4" s="601" t="s">
        <v>24</v>
      </c>
      <c r="AL4" s="526"/>
      <c r="AM4" s="615">
        <f>KONTROL!C2</f>
        <v>2022</v>
      </c>
      <c r="AN4" s="615"/>
      <c r="AO4" s="615"/>
      <c r="AP4" s="615"/>
      <c r="AQ4" s="615"/>
      <c r="AR4" s="615"/>
    </row>
    <row r="5" spans="2:44" ht="10.5" customHeight="1" x14ac:dyDescent="0.2">
      <c r="B5" s="647"/>
      <c r="C5" s="647"/>
      <c r="D5" s="647"/>
      <c r="E5" s="647"/>
      <c r="F5" s="647"/>
      <c r="G5" s="647"/>
      <c r="H5" s="647"/>
      <c r="AI5" s="640"/>
      <c r="AJ5" s="642"/>
      <c r="AK5" s="601" t="s">
        <v>27</v>
      </c>
      <c r="AL5" s="526"/>
      <c r="AM5" s="615" t="str">
        <f>KONTROL!C1</f>
        <v>NİSAN</v>
      </c>
      <c r="AN5" s="615"/>
      <c r="AO5" s="615"/>
      <c r="AP5" s="615"/>
      <c r="AQ5" s="615"/>
      <c r="AR5" s="615"/>
    </row>
    <row r="6" spans="2:44" x14ac:dyDescent="0.2">
      <c r="B6" s="648"/>
      <c r="C6" s="648"/>
      <c r="D6" s="648"/>
      <c r="E6" s="648"/>
      <c r="F6" s="648"/>
      <c r="G6" s="648"/>
      <c r="H6" s="648"/>
      <c r="I6" s="601" t="s">
        <v>20</v>
      </c>
      <c r="J6" s="525"/>
      <c r="K6" s="525"/>
      <c r="L6" s="525"/>
      <c r="M6" s="525"/>
      <c r="N6" s="525"/>
      <c r="O6" s="525"/>
      <c r="P6" s="525"/>
      <c r="Q6" s="525"/>
      <c r="R6" s="525"/>
      <c r="S6" s="525"/>
      <c r="T6" s="526"/>
      <c r="U6" s="649" t="s">
        <v>75</v>
      </c>
      <c r="V6" s="650"/>
      <c r="W6" s="650"/>
      <c r="X6" s="651"/>
      <c r="Y6" s="83"/>
      <c r="Z6" s="652" t="s">
        <v>76</v>
      </c>
      <c r="AA6" s="653"/>
      <c r="AB6" s="653"/>
      <c r="AC6" s="653"/>
      <c r="AD6" s="653"/>
      <c r="AE6" s="653"/>
      <c r="AF6" s="654"/>
      <c r="AG6" s="78"/>
      <c r="AI6" s="652" t="s">
        <v>77</v>
      </c>
      <c r="AJ6" s="654"/>
      <c r="AK6" s="601" t="s">
        <v>23</v>
      </c>
      <c r="AL6" s="526"/>
      <c r="AM6" s="83" t="s">
        <v>15</v>
      </c>
      <c r="AN6" s="56" t="s">
        <v>22</v>
      </c>
      <c r="AO6" s="83"/>
      <c r="AP6" s="601" t="s">
        <v>21</v>
      </c>
      <c r="AQ6" s="526"/>
      <c r="AR6" s="83"/>
    </row>
    <row r="7" spans="2:44" x14ac:dyDescent="0.2">
      <c r="B7" s="622" t="s">
        <v>78</v>
      </c>
      <c r="C7" s="623"/>
      <c r="D7" s="623"/>
      <c r="E7" s="623"/>
      <c r="F7" s="623"/>
      <c r="G7" s="623"/>
      <c r="H7" s="624"/>
      <c r="I7" s="637" t="s">
        <v>226</v>
      </c>
      <c r="J7" s="638"/>
      <c r="K7" s="638"/>
      <c r="L7" s="638"/>
      <c r="M7" s="638"/>
      <c r="N7" s="638"/>
      <c r="O7" s="638"/>
      <c r="P7" s="638"/>
      <c r="Q7" s="638"/>
      <c r="R7" s="638"/>
      <c r="S7" s="638"/>
      <c r="T7" s="639"/>
      <c r="U7" s="565"/>
      <c r="V7" s="566"/>
      <c r="W7" s="566"/>
      <c r="X7" s="566"/>
      <c r="Y7" s="566"/>
      <c r="Z7" s="566"/>
      <c r="AA7" s="566"/>
      <c r="AB7" s="566"/>
      <c r="AC7" s="566"/>
      <c r="AD7" s="566"/>
      <c r="AE7" s="566"/>
      <c r="AF7" s="566"/>
      <c r="AG7" s="567"/>
      <c r="AI7" s="612" t="s">
        <v>79</v>
      </c>
      <c r="AJ7" s="613"/>
      <c r="AK7" s="613"/>
      <c r="AL7" s="613"/>
      <c r="AM7" s="613"/>
      <c r="AN7" s="614"/>
      <c r="AO7" s="601">
        <v>13</v>
      </c>
      <c r="AP7" s="525"/>
      <c r="AQ7" s="525"/>
      <c r="AR7" s="526"/>
    </row>
    <row r="8" spans="2:44" x14ac:dyDescent="0.2">
      <c r="B8" s="625"/>
      <c r="C8" s="626"/>
      <c r="D8" s="626"/>
      <c r="E8" s="626"/>
      <c r="F8" s="626"/>
      <c r="G8" s="626"/>
      <c r="H8" s="627"/>
      <c r="I8" s="640"/>
      <c r="J8" s="641"/>
      <c r="K8" s="641"/>
      <c r="L8" s="641"/>
      <c r="M8" s="641"/>
      <c r="N8" s="641"/>
      <c r="O8" s="641"/>
      <c r="P8" s="641"/>
      <c r="Q8" s="641"/>
      <c r="R8" s="641"/>
      <c r="S8" s="641"/>
      <c r="T8" s="642"/>
      <c r="U8" s="523"/>
      <c r="V8" s="524"/>
      <c r="W8" s="524"/>
      <c r="X8" s="524"/>
      <c r="Y8" s="524"/>
      <c r="Z8" s="524"/>
      <c r="AA8" s="524"/>
      <c r="AB8" s="524"/>
      <c r="AC8" s="524"/>
      <c r="AD8" s="524"/>
      <c r="AE8" s="524"/>
      <c r="AF8" s="524"/>
      <c r="AG8" s="571"/>
      <c r="AI8" s="637" t="s">
        <v>80</v>
      </c>
      <c r="AJ8" s="638"/>
      <c r="AK8" s="638"/>
      <c r="AL8" s="638"/>
      <c r="AM8" s="638"/>
      <c r="AN8" s="639"/>
      <c r="AO8" s="622"/>
      <c r="AP8" s="623"/>
      <c r="AQ8" s="623"/>
      <c r="AR8" s="624"/>
    </row>
    <row r="9" spans="2:44" x14ac:dyDescent="0.2">
      <c r="B9" s="622" t="s">
        <v>81</v>
      </c>
      <c r="C9" s="623"/>
      <c r="D9" s="623"/>
      <c r="E9" s="623"/>
      <c r="F9" s="623"/>
      <c r="G9" s="623"/>
      <c r="H9" s="624"/>
      <c r="I9" s="622" t="s">
        <v>227</v>
      </c>
      <c r="J9" s="623"/>
      <c r="K9" s="623"/>
      <c r="L9" s="623"/>
      <c r="M9" s="623"/>
      <c r="N9" s="623"/>
      <c r="O9" s="623"/>
      <c r="P9" s="623"/>
      <c r="Q9" s="623"/>
      <c r="R9" s="623"/>
      <c r="S9" s="623"/>
      <c r="T9" s="624"/>
      <c r="U9" s="622"/>
      <c r="V9" s="623"/>
      <c r="W9" s="623"/>
      <c r="X9" s="623"/>
      <c r="Y9" s="623"/>
      <c r="Z9" s="623"/>
      <c r="AA9" s="623"/>
      <c r="AB9" s="623"/>
      <c r="AC9" s="623"/>
      <c r="AD9" s="623"/>
      <c r="AE9" s="623"/>
      <c r="AF9" s="623"/>
      <c r="AG9" s="624"/>
      <c r="AI9" s="640"/>
      <c r="AJ9" s="641"/>
      <c r="AK9" s="641"/>
      <c r="AL9" s="641"/>
      <c r="AM9" s="641"/>
      <c r="AN9" s="642"/>
      <c r="AO9" s="625"/>
      <c r="AP9" s="626"/>
      <c r="AQ9" s="626"/>
      <c r="AR9" s="627"/>
    </row>
    <row r="10" spans="2:44" x14ac:dyDescent="0.2">
      <c r="B10" s="643"/>
      <c r="C10" s="644"/>
      <c r="D10" s="644"/>
      <c r="E10" s="644"/>
      <c r="F10" s="644"/>
      <c r="G10" s="644"/>
      <c r="H10" s="645"/>
      <c r="I10" s="643"/>
      <c r="J10" s="644"/>
      <c r="K10" s="644"/>
      <c r="L10" s="644"/>
      <c r="M10" s="644"/>
      <c r="N10" s="644"/>
      <c r="O10" s="644"/>
      <c r="P10" s="644"/>
      <c r="Q10" s="644"/>
      <c r="R10" s="644"/>
      <c r="S10" s="644"/>
      <c r="T10" s="645"/>
      <c r="U10" s="643"/>
      <c r="V10" s="644"/>
      <c r="W10" s="644"/>
      <c r="X10" s="644"/>
      <c r="Y10" s="644"/>
      <c r="Z10" s="644"/>
      <c r="AA10" s="644"/>
      <c r="AB10" s="644"/>
      <c r="AC10" s="644"/>
      <c r="AD10" s="644"/>
      <c r="AE10" s="644"/>
      <c r="AF10" s="644"/>
      <c r="AG10" s="645"/>
      <c r="AI10" s="637" t="s">
        <v>82</v>
      </c>
      <c r="AJ10" s="638"/>
      <c r="AK10" s="638"/>
      <c r="AL10" s="638"/>
      <c r="AM10" s="638"/>
      <c r="AN10" s="639"/>
      <c r="AO10" s="565">
        <v>1</v>
      </c>
      <c r="AP10" s="566"/>
      <c r="AQ10" s="566"/>
      <c r="AR10" s="567"/>
    </row>
    <row r="11" spans="2:44" x14ac:dyDescent="0.2">
      <c r="B11" s="643"/>
      <c r="C11" s="644"/>
      <c r="D11" s="644"/>
      <c r="E11" s="644"/>
      <c r="F11" s="644"/>
      <c r="G11" s="644"/>
      <c r="H11" s="645"/>
      <c r="I11" s="643" t="s">
        <v>83</v>
      </c>
      <c r="J11" s="644"/>
      <c r="K11" s="569"/>
      <c r="L11" s="569"/>
      <c r="M11" s="569"/>
      <c r="N11" s="569"/>
      <c r="O11" s="644" t="s">
        <v>84</v>
      </c>
      <c r="P11" s="644"/>
      <c r="Q11" s="644" t="s">
        <v>213</v>
      </c>
      <c r="R11" s="644"/>
      <c r="S11" s="644"/>
      <c r="T11" s="645"/>
      <c r="U11" s="643" t="s">
        <v>83</v>
      </c>
      <c r="V11" s="644"/>
      <c r="W11" s="644"/>
      <c r="X11" s="644"/>
      <c r="Y11" s="644"/>
      <c r="Z11" s="644"/>
      <c r="AA11" s="644"/>
      <c r="AB11" s="644" t="s">
        <v>85</v>
      </c>
      <c r="AC11" s="644"/>
      <c r="AD11" s="644"/>
      <c r="AE11" s="644"/>
      <c r="AF11" s="644"/>
      <c r="AG11" s="645"/>
      <c r="AI11" s="640"/>
      <c r="AJ11" s="641"/>
      <c r="AK11" s="641"/>
      <c r="AL11" s="641"/>
      <c r="AM11" s="641"/>
      <c r="AN11" s="642"/>
      <c r="AO11" s="523"/>
      <c r="AP11" s="524"/>
      <c r="AQ11" s="524"/>
      <c r="AR11" s="571"/>
    </row>
    <row r="12" spans="2:44" x14ac:dyDescent="0.2">
      <c r="B12" s="625"/>
      <c r="C12" s="626"/>
      <c r="D12" s="626"/>
      <c r="E12" s="626"/>
      <c r="F12" s="626"/>
      <c r="G12" s="626"/>
      <c r="H12" s="627"/>
      <c r="I12" s="625" t="s">
        <v>86</v>
      </c>
      <c r="J12" s="626"/>
      <c r="K12" s="626" t="s">
        <v>87</v>
      </c>
      <c r="L12" s="626"/>
      <c r="M12" s="626"/>
      <c r="N12" s="626"/>
      <c r="O12" s="626" t="s">
        <v>88</v>
      </c>
      <c r="P12" s="626"/>
      <c r="Q12" s="626"/>
      <c r="R12" s="626"/>
      <c r="S12" s="626"/>
      <c r="T12" s="627"/>
      <c r="U12" s="625" t="s">
        <v>86</v>
      </c>
      <c r="V12" s="626"/>
      <c r="W12" s="626"/>
      <c r="X12" s="626"/>
      <c r="Y12" s="626"/>
      <c r="Z12" s="626"/>
      <c r="AA12" s="626"/>
      <c r="AB12" s="626" t="s">
        <v>88</v>
      </c>
      <c r="AC12" s="626"/>
      <c r="AD12" s="626"/>
      <c r="AE12" s="626"/>
      <c r="AF12" s="626"/>
      <c r="AG12" s="627"/>
      <c r="AI12" s="612" t="s">
        <v>89</v>
      </c>
      <c r="AJ12" s="613"/>
      <c r="AK12" s="613"/>
      <c r="AL12" s="613"/>
      <c r="AM12" s="613"/>
      <c r="AN12" s="614"/>
      <c r="AO12" s="601">
        <v>1</v>
      </c>
      <c r="AP12" s="525"/>
      <c r="AQ12" s="525"/>
      <c r="AR12" s="526"/>
    </row>
    <row r="13" spans="2:44" x14ac:dyDescent="0.2">
      <c r="B13" s="612" t="s">
        <v>90</v>
      </c>
      <c r="C13" s="613"/>
      <c r="D13" s="613"/>
      <c r="E13" s="613"/>
      <c r="F13" s="613"/>
      <c r="G13" s="613"/>
      <c r="H13" s="614"/>
      <c r="I13" s="615" t="s">
        <v>228</v>
      </c>
      <c r="J13" s="615"/>
      <c r="K13" s="615"/>
      <c r="L13" s="615"/>
      <c r="M13" s="615"/>
      <c r="N13" s="615"/>
      <c r="O13" s="615"/>
      <c r="P13" s="615"/>
      <c r="Q13" s="615"/>
      <c r="R13" s="615"/>
      <c r="S13" s="615"/>
      <c r="T13" s="615"/>
      <c r="U13" s="615"/>
      <c r="V13" s="615"/>
      <c r="W13" s="615"/>
      <c r="X13" s="615"/>
      <c r="Y13" s="615"/>
      <c r="Z13" s="615"/>
      <c r="AA13" s="615"/>
      <c r="AB13" s="615"/>
      <c r="AC13" s="615"/>
      <c r="AD13" s="615"/>
      <c r="AE13" s="615"/>
      <c r="AF13" s="615"/>
      <c r="AG13" s="615"/>
    </row>
    <row r="14" spans="2:44" x14ac:dyDescent="0.2">
      <c r="B14" s="616" t="s">
        <v>91</v>
      </c>
      <c r="C14" s="617"/>
      <c r="D14" s="617"/>
      <c r="E14" s="617"/>
      <c r="F14" s="617"/>
      <c r="G14" s="617"/>
      <c r="H14" s="618"/>
      <c r="I14" s="633"/>
      <c r="J14" s="633"/>
      <c r="K14" s="633"/>
      <c r="L14" s="633"/>
      <c r="M14" s="633"/>
      <c r="N14" s="633"/>
      <c r="O14" s="633" t="s">
        <v>214</v>
      </c>
      <c r="P14" s="633"/>
      <c r="Q14" s="633"/>
      <c r="R14" s="633"/>
      <c r="S14" s="633"/>
      <c r="T14" s="633"/>
      <c r="U14" s="615"/>
      <c r="V14" s="615"/>
      <c r="W14" s="615"/>
      <c r="X14" s="615"/>
      <c r="Y14" s="615"/>
      <c r="Z14" s="615"/>
      <c r="AA14" s="615"/>
      <c r="AB14" s="615"/>
      <c r="AC14" s="615"/>
      <c r="AD14" s="615"/>
      <c r="AE14" s="615"/>
      <c r="AF14" s="615"/>
      <c r="AG14" s="615"/>
    </row>
    <row r="15" spans="2:44" ht="12.75" customHeight="1" x14ac:dyDescent="0.2">
      <c r="N15" s="524" t="s">
        <v>92</v>
      </c>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row>
    <row r="16" spans="2:44" x14ac:dyDescent="0.2">
      <c r="B16" s="601" t="s">
        <v>93</v>
      </c>
      <c r="C16" s="525"/>
      <c r="D16" s="525"/>
      <c r="E16" s="525"/>
      <c r="F16" s="525"/>
      <c r="G16" s="525"/>
      <c r="H16" s="525"/>
      <c r="I16" s="525"/>
      <c r="J16" s="525"/>
      <c r="K16" s="525"/>
      <c r="L16" s="526"/>
      <c r="N16" s="601" t="s">
        <v>94</v>
      </c>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5"/>
      <c r="AP16" s="525"/>
      <c r="AQ16" s="525"/>
      <c r="AR16" s="526"/>
    </row>
    <row r="17" spans="2:49" x14ac:dyDescent="0.2">
      <c r="B17" s="612" t="s">
        <v>95</v>
      </c>
      <c r="C17" s="613"/>
      <c r="D17" s="613"/>
      <c r="E17" s="613"/>
      <c r="F17" s="613"/>
      <c r="G17" s="614"/>
      <c r="H17" s="628">
        <f>MAX(COUNTA('BİLGİ GİRİŞİ'!A3:A100))</f>
        <v>48</v>
      </c>
      <c r="I17" s="629"/>
      <c r="J17" s="629"/>
      <c r="K17" s="629"/>
      <c r="L17" s="629"/>
      <c r="N17" s="612" t="s">
        <v>18</v>
      </c>
      <c r="O17" s="613"/>
      <c r="P17" s="613"/>
      <c r="Q17" s="613"/>
      <c r="R17" s="613"/>
      <c r="S17" s="613"/>
      <c r="T17" s="613"/>
      <c r="U17" s="613"/>
      <c r="V17" s="613"/>
      <c r="W17" s="614"/>
      <c r="X17" s="634" t="s">
        <v>96</v>
      </c>
      <c r="Y17" s="635"/>
      <c r="Z17" s="635"/>
      <c r="AA17" s="635"/>
      <c r="AB17" s="635"/>
      <c r="AC17" s="635"/>
      <c r="AD17" s="635"/>
      <c r="AE17" s="636"/>
      <c r="AF17" s="601" t="s">
        <v>97</v>
      </c>
      <c r="AG17" s="525"/>
      <c r="AH17" s="525"/>
      <c r="AI17" s="525"/>
      <c r="AJ17" s="526"/>
      <c r="AK17" s="601" t="s">
        <v>98</v>
      </c>
      <c r="AL17" s="525"/>
      <c r="AM17" s="525"/>
      <c r="AN17" s="525"/>
      <c r="AO17" s="525"/>
      <c r="AP17" s="525"/>
      <c r="AQ17" s="525"/>
      <c r="AR17" s="526"/>
    </row>
    <row r="18" spans="2:49" x14ac:dyDescent="0.2">
      <c r="B18" s="616" t="s">
        <v>99</v>
      </c>
      <c r="C18" s="617"/>
      <c r="D18" s="617"/>
      <c r="E18" s="617"/>
      <c r="F18" s="617"/>
      <c r="G18" s="618"/>
      <c r="H18" s="628">
        <f>BORDRO!D58</f>
        <v>102</v>
      </c>
      <c r="I18" s="629"/>
      <c r="J18" s="629"/>
      <c r="K18" s="629"/>
      <c r="L18" s="629"/>
      <c r="N18" s="616" t="s">
        <v>195</v>
      </c>
      <c r="O18" s="617"/>
      <c r="P18" s="617"/>
      <c r="Q18" s="617"/>
      <c r="R18" s="617"/>
      <c r="S18" s="617"/>
      <c r="T18" s="617"/>
      <c r="U18" s="617"/>
      <c r="V18" s="617"/>
      <c r="W18" s="618"/>
      <c r="X18" s="598">
        <f>BORDRO!O58</f>
        <v>26546.43</v>
      </c>
      <c r="Y18" s="599"/>
      <c r="Z18" s="599"/>
      <c r="AA18" s="599"/>
      <c r="AB18" s="599"/>
      <c r="AC18" s="599"/>
      <c r="AD18" s="599"/>
      <c r="AE18" s="600"/>
      <c r="AF18" s="601">
        <v>2</v>
      </c>
      <c r="AG18" s="525"/>
      <c r="AH18" s="525"/>
      <c r="AI18" s="525"/>
      <c r="AJ18" s="526"/>
      <c r="AK18" s="598">
        <f>ROUND(MOD(X18*AF18/100,100000),2)</f>
        <v>530.92999999999995</v>
      </c>
      <c r="AL18" s="599"/>
      <c r="AM18" s="599"/>
      <c r="AN18" s="599"/>
      <c r="AO18" s="599"/>
      <c r="AP18" s="599"/>
      <c r="AQ18" s="599"/>
      <c r="AR18" s="600"/>
    </row>
    <row r="19" spans="2:49" x14ac:dyDescent="0.2">
      <c r="B19" s="622" t="s">
        <v>100</v>
      </c>
      <c r="C19" s="623"/>
      <c r="D19" s="624"/>
      <c r="E19" s="616" t="s">
        <v>101</v>
      </c>
      <c r="F19" s="617"/>
      <c r="G19" s="618"/>
      <c r="H19" s="629"/>
      <c r="I19" s="629"/>
      <c r="J19" s="629"/>
      <c r="K19" s="629"/>
      <c r="L19" s="629"/>
      <c r="N19" s="616" t="s">
        <v>196</v>
      </c>
      <c r="O19" s="617"/>
      <c r="P19" s="617"/>
      <c r="Q19" s="617"/>
      <c r="R19" s="617"/>
      <c r="S19" s="617"/>
      <c r="T19" s="617"/>
      <c r="U19" s="617"/>
      <c r="V19" s="617"/>
      <c r="W19" s="618"/>
      <c r="X19" s="598">
        <f>+X18</f>
        <v>26546.43</v>
      </c>
      <c r="Y19" s="599"/>
      <c r="Z19" s="599"/>
      <c r="AA19" s="599"/>
      <c r="AB19" s="599"/>
      <c r="AC19" s="599"/>
      <c r="AD19" s="599"/>
      <c r="AE19" s="600"/>
      <c r="AF19" s="601">
        <v>20</v>
      </c>
      <c r="AG19" s="525"/>
      <c r="AH19" s="525"/>
      <c r="AI19" s="525"/>
      <c r="AJ19" s="526"/>
      <c r="AK19" s="598">
        <f>ROUND(MOD(X19*AF19/100,100000),2)</f>
        <v>5309.29</v>
      </c>
      <c r="AL19" s="599"/>
      <c r="AM19" s="599"/>
      <c r="AN19" s="599"/>
      <c r="AO19" s="599"/>
      <c r="AP19" s="599"/>
      <c r="AQ19" s="599"/>
      <c r="AR19" s="600"/>
      <c r="AW19" s="75"/>
    </row>
    <row r="20" spans="2:49" x14ac:dyDescent="0.2">
      <c r="B20" s="625"/>
      <c r="C20" s="626"/>
      <c r="D20" s="627"/>
      <c r="E20" s="616" t="s">
        <v>102</v>
      </c>
      <c r="F20" s="617"/>
      <c r="G20" s="618"/>
      <c r="H20" s="629"/>
      <c r="I20" s="629"/>
      <c r="J20" s="629"/>
      <c r="K20" s="629"/>
      <c r="L20" s="629"/>
      <c r="N20" s="616" t="s">
        <v>197</v>
      </c>
      <c r="O20" s="617"/>
      <c r="P20" s="617"/>
      <c r="Q20" s="617"/>
      <c r="R20" s="617"/>
      <c r="S20" s="617"/>
      <c r="T20" s="617"/>
      <c r="U20" s="617"/>
      <c r="V20" s="617"/>
      <c r="W20" s="618"/>
      <c r="X20" s="598">
        <f>+X19</f>
        <v>26546.43</v>
      </c>
      <c r="Y20" s="599"/>
      <c r="Z20" s="599"/>
      <c r="AA20" s="599"/>
      <c r="AB20" s="599"/>
      <c r="AC20" s="599"/>
      <c r="AD20" s="599"/>
      <c r="AE20" s="600"/>
      <c r="AF20" s="630">
        <v>12.5</v>
      </c>
      <c r="AG20" s="631"/>
      <c r="AH20" s="631"/>
      <c r="AI20" s="631"/>
      <c r="AJ20" s="632"/>
      <c r="AK20" s="598">
        <f>ROUND(MOD(X20*AF20/100,100000),2)</f>
        <v>3318.3</v>
      </c>
      <c r="AL20" s="599"/>
      <c r="AM20" s="599"/>
      <c r="AN20" s="599"/>
      <c r="AO20" s="599"/>
      <c r="AP20" s="599"/>
      <c r="AQ20" s="599"/>
      <c r="AR20" s="600"/>
    </row>
    <row r="21" spans="2:49" x14ac:dyDescent="0.2">
      <c r="B21" s="603" t="s">
        <v>103</v>
      </c>
      <c r="C21" s="294"/>
      <c r="D21" s="295"/>
      <c r="E21" s="616" t="s">
        <v>104</v>
      </c>
      <c r="F21" s="617"/>
      <c r="G21" s="618"/>
      <c r="H21" s="615"/>
      <c r="I21" s="615"/>
      <c r="J21" s="615"/>
      <c r="K21" s="615"/>
      <c r="L21" s="615"/>
      <c r="N21" s="616"/>
      <c r="O21" s="617"/>
      <c r="P21" s="617"/>
      <c r="Q21" s="617"/>
      <c r="R21" s="617"/>
      <c r="S21" s="617"/>
      <c r="T21" s="617"/>
      <c r="U21" s="617"/>
      <c r="V21" s="617"/>
      <c r="W21" s="618"/>
      <c r="X21" s="598"/>
      <c r="Y21" s="599"/>
      <c r="Z21" s="599"/>
      <c r="AA21" s="599"/>
      <c r="AB21" s="599"/>
      <c r="AC21" s="599"/>
      <c r="AD21" s="599"/>
      <c r="AE21" s="600"/>
      <c r="AF21" s="601"/>
      <c r="AG21" s="525"/>
      <c r="AH21" s="525"/>
      <c r="AI21" s="525"/>
      <c r="AJ21" s="526"/>
      <c r="AK21" s="598"/>
      <c r="AL21" s="599"/>
      <c r="AM21" s="599"/>
      <c r="AN21" s="599"/>
      <c r="AO21" s="599"/>
      <c r="AP21" s="599"/>
      <c r="AQ21" s="599"/>
      <c r="AR21" s="600"/>
    </row>
    <row r="22" spans="2:49" x14ac:dyDescent="0.2">
      <c r="B22" s="296"/>
      <c r="C22" s="297"/>
      <c r="D22" s="298"/>
      <c r="E22" s="616" t="s">
        <v>105</v>
      </c>
      <c r="F22" s="617"/>
      <c r="G22" s="618"/>
      <c r="H22" s="615"/>
      <c r="I22" s="615"/>
      <c r="J22" s="615"/>
      <c r="K22" s="615"/>
      <c r="L22" s="615"/>
      <c r="N22" s="616"/>
      <c r="O22" s="617"/>
      <c r="P22" s="617"/>
      <c r="Q22" s="617"/>
      <c r="R22" s="617"/>
      <c r="S22" s="617"/>
      <c r="T22" s="617"/>
      <c r="U22" s="617"/>
      <c r="V22" s="617"/>
      <c r="W22" s="618"/>
      <c r="X22" s="598"/>
      <c r="Y22" s="599"/>
      <c r="Z22" s="599"/>
      <c r="AA22" s="599"/>
      <c r="AB22" s="599"/>
      <c r="AC22" s="599"/>
      <c r="AD22" s="599"/>
      <c r="AE22" s="600"/>
      <c r="AF22" s="601"/>
      <c r="AG22" s="525"/>
      <c r="AH22" s="525"/>
      <c r="AI22" s="525"/>
      <c r="AJ22" s="526"/>
      <c r="AK22" s="598"/>
      <c r="AL22" s="599"/>
      <c r="AM22" s="599"/>
      <c r="AN22" s="599"/>
      <c r="AO22" s="599"/>
      <c r="AP22" s="599"/>
      <c r="AQ22" s="599"/>
      <c r="AR22" s="600"/>
      <c r="AW22" s="57"/>
    </row>
    <row r="23" spans="2:49" x14ac:dyDescent="0.2">
      <c r="B23" s="603" t="s">
        <v>106</v>
      </c>
      <c r="C23" s="294"/>
      <c r="D23" s="295"/>
      <c r="E23" s="612" t="s">
        <v>104</v>
      </c>
      <c r="F23" s="613"/>
      <c r="G23" s="614"/>
      <c r="H23" s="615"/>
      <c r="I23" s="615"/>
      <c r="J23" s="615"/>
      <c r="K23" s="615"/>
      <c r="L23" s="615"/>
      <c r="N23" s="616"/>
      <c r="O23" s="617"/>
      <c r="P23" s="617"/>
      <c r="Q23" s="617"/>
      <c r="R23" s="617"/>
      <c r="S23" s="617"/>
      <c r="T23" s="617"/>
      <c r="U23" s="617"/>
      <c r="V23" s="617"/>
      <c r="W23" s="618"/>
      <c r="X23" s="598"/>
      <c r="Y23" s="599"/>
      <c r="Z23" s="599"/>
      <c r="AA23" s="599"/>
      <c r="AB23" s="599"/>
      <c r="AC23" s="599"/>
      <c r="AD23" s="599"/>
      <c r="AE23" s="600"/>
      <c r="AF23" s="601"/>
      <c r="AG23" s="525"/>
      <c r="AH23" s="525"/>
      <c r="AI23" s="525"/>
      <c r="AJ23" s="526"/>
      <c r="AK23" s="598"/>
      <c r="AL23" s="599"/>
      <c r="AM23" s="599"/>
      <c r="AN23" s="599"/>
      <c r="AO23" s="599"/>
      <c r="AP23" s="599"/>
      <c r="AQ23" s="599"/>
      <c r="AR23" s="600"/>
    </row>
    <row r="24" spans="2:49" x14ac:dyDescent="0.2">
      <c r="B24" s="604"/>
      <c r="C24" s="605"/>
      <c r="D24" s="606"/>
      <c r="E24" s="612" t="s">
        <v>105</v>
      </c>
      <c r="F24" s="613"/>
      <c r="G24" s="614"/>
      <c r="H24" s="615"/>
      <c r="I24" s="615"/>
      <c r="J24" s="615"/>
      <c r="K24" s="615"/>
      <c r="L24" s="615"/>
      <c r="N24" s="616"/>
      <c r="O24" s="617"/>
      <c r="P24" s="617"/>
      <c r="Q24" s="617"/>
      <c r="R24" s="617"/>
      <c r="S24" s="617"/>
      <c r="T24" s="617"/>
      <c r="U24" s="617"/>
      <c r="V24" s="617"/>
      <c r="W24" s="618"/>
      <c r="X24" s="598"/>
      <c r="Y24" s="599"/>
      <c r="Z24" s="599"/>
      <c r="AA24" s="599"/>
      <c r="AB24" s="599"/>
      <c r="AC24" s="599"/>
      <c r="AD24" s="599"/>
      <c r="AE24" s="600"/>
      <c r="AF24" s="601"/>
      <c r="AG24" s="525"/>
      <c r="AH24" s="525"/>
      <c r="AI24" s="525"/>
      <c r="AJ24" s="526"/>
      <c r="AK24" s="598"/>
      <c r="AL24" s="599"/>
      <c r="AM24" s="599"/>
      <c r="AN24" s="599"/>
      <c r="AO24" s="599"/>
      <c r="AP24" s="599"/>
      <c r="AQ24" s="599"/>
      <c r="AR24" s="600"/>
    </row>
    <row r="25" spans="2:49" x14ac:dyDescent="0.2">
      <c r="B25" s="296"/>
      <c r="C25" s="297"/>
      <c r="D25" s="298"/>
      <c r="E25" s="612" t="s">
        <v>107</v>
      </c>
      <c r="F25" s="613"/>
      <c r="G25" s="614"/>
      <c r="H25" s="615"/>
      <c r="I25" s="615"/>
      <c r="J25" s="615"/>
      <c r="K25" s="615"/>
      <c r="L25" s="615"/>
      <c r="N25" s="616" t="s">
        <v>19</v>
      </c>
      <c r="O25" s="617"/>
      <c r="P25" s="617"/>
      <c r="Q25" s="617"/>
      <c r="R25" s="617"/>
      <c r="S25" s="617"/>
      <c r="T25" s="617"/>
      <c r="U25" s="617"/>
      <c r="V25" s="617"/>
      <c r="W25" s="618"/>
      <c r="X25" s="598">
        <f>X18</f>
        <v>26546.43</v>
      </c>
      <c r="Y25" s="599"/>
      <c r="Z25" s="599"/>
      <c r="AA25" s="599"/>
      <c r="AB25" s="599"/>
      <c r="AC25" s="599"/>
      <c r="AD25" s="599"/>
      <c r="AE25" s="600"/>
      <c r="AF25" s="601">
        <v>34.5</v>
      </c>
      <c r="AG25" s="525"/>
      <c r="AH25" s="525"/>
      <c r="AI25" s="525"/>
      <c r="AJ25" s="526"/>
      <c r="AK25" s="619">
        <f>SUM(AK18:AK24)</f>
        <v>9158.52</v>
      </c>
      <c r="AL25" s="620"/>
      <c r="AM25" s="620"/>
      <c r="AN25" s="620"/>
      <c r="AO25" s="620"/>
      <c r="AP25" s="620"/>
      <c r="AQ25" s="620"/>
      <c r="AR25" s="621"/>
    </row>
    <row r="26" spans="2:49" x14ac:dyDescent="0.2">
      <c r="B26" s="524" t="s">
        <v>108</v>
      </c>
      <c r="C26" s="569"/>
      <c r="D26" s="569"/>
      <c r="E26" s="569"/>
      <c r="F26" s="569"/>
      <c r="G26" s="569"/>
      <c r="H26" s="569"/>
      <c r="I26" s="569"/>
      <c r="J26" s="569"/>
      <c r="K26" s="569"/>
      <c r="L26" s="569"/>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row>
    <row r="27" spans="2:49" ht="12.75" customHeight="1" x14ac:dyDescent="0.2">
      <c r="B27" s="554" t="s">
        <v>13</v>
      </c>
      <c r="C27" s="545" t="s">
        <v>109</v>
      </c>
      <c r="D27" s="547"/>
      <c r="E27" s="548" t="s">
        <v>110</v>
      </c>
      <c r="F27" s="549"/>
      <c r="G27" s="549"/>
      <c r="H27" s="550"/>
      <c r="I27" s="548" t="s">
        <v>111</v>
      </c>
      <c r="J27" s="549"/>
      <c r="K27" s="549"/>
      <c r="L27" s="550"/>
      <c r="M27" s="549" t="s">
        <v>25</v>
      </c>
      <c r="N27" s="549"/>
      <c r="O27" s="549"/>
      <c r="P27" s="550"/>
      <c r="Q27" s="548" t="s">
        <v>26</v>
      </c>
      <c r="R27" s="549"/>
      <c r="S27" s="549"/>
      <c r="T27" s="550"/>
      <c r="U27" s="548" t="s">
        <v>112</v>
      </c>
      <c r="V27" s="549"/>
      <c r="W27" s="549"/>
      <c r="X27" s="550"/>
      <c r="Y27" s="554" t="s">
        <v>105</v>
      </c>
      <c r="Z27" s="556"/>
      <c r="AA27" s="548" t="s">
        <v>113</v>
      </c>
      <c r="AB27" s="549"/>
      <c r="AC27" s="549"/>
      <c r="AD27" s="550"/>
      <c r="AE27" s="611" t="s">
        <v>114</v>
      </c>
      <c r="AF27" s="611"/>
      <c r="AG27" s="611"/>
      <c r="AH27" s="611"/>
      <c r="AI27" s="602" t="s">
        <v>100</v>
      </c>
      <c r="AJ27" s="602"/>
      <c r="AK27" s="602"/>
      <c r="AL27" s="602"/>
      <c r="AM27" s="602"/>
      <c r="AN27" s="602"/>
      <c r="AO27" s="554" t="s">
        <v>115</v>
      </c>
      <c r="AP27" s="556"/>
      <c r="AQ27" s="554" t="s">
        <v>116</v>
      </c>
      <c r="AR27" s="556"/>
      <c r="AU27" s="55" t="s">
        <v>203</v>
      </c>
    </row>
    <row r="28" spans="2:49" ht="16.5" customHeight="1" x14ac:dyDescent="0.2">
      <c r="B28" s="538"/>
      <c r="C28" s="544"/>
      <c r="D28" s="543"/>
      <c r="E28" s="551"/>
      <c r="F28" s="552"/>
      <c r="G28" s="552"/>
      <c r="H28" s="553"/>
      <c r="I28" s="551"/>
      <c r="J28" s="552"/>
      <c r="K28" s="552"/>
      <c r="L28" s="553"/>
      <c r="M28" s="552"/>
      <c r="N28" s="552"/>
      <c r="O28" s="552"/>
      <c r="P28" s="553"/>
      <c r="Q28" s="551"/>
      <c r="R28" s="552"/>
      <c r="S28" s="552"/>
      <c r="T28" s="553"/>
      <c r="U28" s="551"/>
      <c r="V28" s="552"/>
      <c r="W28" s="552"/>
      <c r="X28" s="553"/>
      <c r="Y28" s="538"/>
      <c r="Z28" s="540"/>
      <c r="AA28" s="551"/>
      <c r="AB28" s="552"/>
      <c r="AC28" s="552"/>
      <c r="AD28" s="553"/>
      <c r="AE28" s="73" t="s">
        <v>117</v>
      </c>
      <c r="AF28" s="602" t="s">
        <v>107</v>
      </c>
      <c r="AG28" s="602"/>
      <c r="AH28" s="602"/>
      <c r="AI28" s="607" t="s">
        <v>118</v>
      </c>
      <c r="AJ28" s="607"/>
      <c r="AK28" s="607"/>
      <c r="AL28" s="608" t="s">
        <v>119</v>
      </c>
      <c r="AM28" s="609"/>
      <c r="AN28" s="610"/>
      <c r="AO28" s="538"/>
      <c r="AP28" s="540"/>
      <c r="AQ28" s="538"/>
      <c r="AR28" s="540"/>
    </row>
    <row r="29" spans="2:49" x14ac:dyDescent="0.2">
      <c r="B29" s="76"/>
      <c r="C29" s="527"/>
      <c r="D29" s="529"/>
      <c r="E29" s="572"/>
      <c r="F29" s="573"/>
      <c r="G29" s="573"/>
      <c r="H29" s="574"/>
      <c r="I29" s="572"/>
      <c r="J29" s="573"/>
      <c r="K29" s="573"/>
      <c r="L29" s="574"/>
      <c r="M29" s="575"/>
      <c r="N29" s="576"/>
      <c r="O29" s="576"/>
      <c r="P29" s="577"/>
      <c r="Q29" s="575"/>
      <c r="R29" s="576"/>
      <c r="S29" s="576"/>
      <c r="T29" s="577"/>
      <c r="U29" s="575"/>
      <c r="V29" s="576"/>
      <c r="W29" s="576"/>
      <c r="X29" s="577"/>
      <c r="Y29" s="530"/>
      <c r="Z29" s="531"/>
      <c r="AA29" s="532"/>
      <c r="AB29" s="533"/>
      <c r="AC29" s="533"/>
      <c r="AD29" s="534"/>
      <c r="AE29" s="86"/>
      <c r="AF29" s="527"/>
      <c r="AG29" s="528"/>
      <c r="AH29" s="529"/>
      <c r="AI29" s="578"/>
      <c r="AJ29" s="579"/>
      <c r="AK29" s="580"/>
      <c r="AL29" s="581"/>
      <c r="AM29" s="582"/>
      <c r="AN29" s="583"/>
      <c r="AO29" s="527"/>
      <c r="AP29" s="529"/>
      <c r="AQ29" s="527"/>
      <c r="AR29" s="529"/>
    </row>
    <row r="30" spans="2:49" x14ac:dyDescent="0.2">
      <c r="B30" s="84"/>
      <c r="C30" s="527"/>
      <c r="D30" s="529"/>
      <c r="E30" s="572"/>
      <c r="F30" s="573"/>
      <c r="G30" s="573"/>
      <c r="H30" s="574"/>
      <c r="I30" s="572"/>
      <c r="J30" s="573"/>
      <c r="K30" s="573"/>
      <c r="L30" s="574"/>
      <c r="M30" s="575"/>
      <c r="N30" s="576"/>
      <c r="O30" s="576"/>
      <c r="P30" s="577"/>
      <c r="Q30" s="575"/>
      <c r="R30" s="576"/>
      <c r="S30" s="576"/>
      <c r="T30" s="577"/>
      <c r="U30" s="575"/>
      <c r="V30" s="576"/>
      <c r="W30" s="576"/>
      <c r="X30" s="577"/>
      <c r="Y30" s="530"/>
      <c r="Z30" s="531"/>
      <c r="AA30" s="532"/>
      <c r="AB30" s="533"/>
      <c r="AC30" s="533"/>
      <c r="AD30" s="534"/>
      <c r="AE30" s="65"/>
      <c r="AF30" s="585"/>
      <c r="AG30" s="579"/>
      <c r="AH30" s="580"/>
      <c r="AI30" s="578"/>
      <c r="AJ30" s="579"/>
      <c r="AK30" s="580"/>
      <c r="AL30" s="581"/>
      <c r="AM30" s="582"/>
      <c r="AN30" s="583"/>
      <c r="AO30" s="527"/>
      <c r="AP30" s="529"/>
      <c r="AQ30" s="527"/>
      <c r="AR30" s="529"/>
    </row>
    <row r="31" spans="2:49" x14ac:dyDescent="0.2">
      <c r="B31" s="76"/>
      <c r="C31" s="527"/>
      <c r="D31" s="529"/>
      <c r="E31" s="572"/>
      <c r="F31" s="573"/>
      <c r="G31" s="573"/>
      <c r="H31" s="574"/>
      <c r="I31" s="572"/>
      <c r="J31" s="573"/>
      <c r="K31" s="573"/>
      <c r="L31" s="574"/>
      <c r="M31" s="575"/>
      <c r="N31" s="576"/>
      <c r="O31" s="576"/>
      <c r="P31" s="577"/>
      <c r="Q31" s="575"/>
      <c r="R31" s="576"/>
      <c r="S31" s="576"/>
      <c r="T31" s="577"/>
      <c r="U31" s="575"/>
      <c r="V31" s="576"/>
      <c r="W31" s="576"/>
      <c r="X31" s="577"/>
      <c r="Y31" s="530"/>
      <c r="Z31" s="531"/>
      <c r="AA31" s="595"/>
      <c r="AB31" s="596"/>
      <c r="AC31" s="596"/>
      <c r="AD31" s="597"/>
      <c r="AE31" s="85"/>
      <c r="AF31" s="586"/>
      <c r="AG31" s="587"/>
      <c r="AH31" s="588"/>
      <c r="AI31" s="589"/>
      <c r="AJ31" s="590"/>
      <c r="AK31" s="591"/>
      <c r="AL31" s="592"/>
      <c r="AM31" s="593"/>
      <c r="AN31" s="594"/>
      <c r="AO31" s="527"/>
      <c r="AP31" s="529"/>
      <c r="AQ31" s="527"/>
      <c r="AR31" s="529"/>
    </row>
    <row r="32" spans="2:49" x14ac:dyDescent="0.2">
      <c r="B32" s="76"/>
      <c r="C32" s="585"/>
      <c r="D32" s="580"/>
      <c r="E32" s="572"/>
      <c r="F32" s="573"/>
      <c r="G32" s="573"/>
      <c r="H32" s="574"/>
      <c r="I32" s="572"/>
      <c r="J32" s="573"/>
      <c r="K32" s="573"/>
      <c r="L32" s="574"/>
      <c r="M32" s="575"/>
      <c r="N32" s="576"/>
      <c r="O32" s="576"/>
      <c r="P32" s="577"/>
      <c r="Q32" s="575"/>
      <c r="R32" s="576"/>
      <c r="S32" s="576"/>
      <c r="T32" s="577"/>
      <c r="U32" s="575"/>
      <c r="V32" s="576"/>
      <c r="W32" s="576"/>
      <c r="X32" s="577"/>
      <c r="Y32" s="530"/>
      <c r="Z32" s="531"/>
      <c r="AA32" s="532"/>
      <c r="AB32" s="533"/>
      <c r="AC32" s="533"/>
      <c r="AD32" s="534"/>
      <c r="AE32" s="65"/>
      <c r="AF32" s="585"/>
      <c r="AG32" s="579"/>
      <c r="AH32" s="580"/>
      <c r="AI32" s="578"/>
      <c r="AJ32" s="579"/>
      <c r="AK32" s="580"/>
      <c r="AL32" s="581"/>
      <c r="AM32" s="582"/>
      <c r="AN32" s="583"/>
      <c r="AO32" s="527"/>
      <c r="AP32" s="529"/>
      <c r="AQ32" s="527"/>
      <c r="AR32" s="529"/>
    </row>
    <row r="33" spans="2:44" x14ac:dyDescent="0.2">
      <c r="B33" s="76"/>
      <c r="C33" s="527"/>
      <c r="D33" s="529"/>
      <c r="E33" s="572"/>
      <c r="F33" s="573"/>
      <c r="G33" s="573"/>
      <c r="H33" s="574"/>
      <c r="I33" s="572"/>
      <c r="J33" s="573"/>
      <c r="K33" s="573"/>
      <c r="L33" s="574"/>
      <c r="M33" s="575"/>
      <c r="N33" s="576"/>
      <c r="O33" s="576"/>
      <c r="P33" s="577"/>
      <c r="Q33" s="575"/>
      <c r="R33" s="576"/>
      <c r="S33" s="576"/>
      <c r="T33" s="577"/>
      <c r="U33" s="575"/>
      <c r="V33" s="576"/>
      <c r="W33" s="576"/>
      <c r="X33" s="577"/>
      <c r="Y33" s="530"/>
      <c r="Z33" s="531"/>
      <c r="AA33" s="532"/>
      <c r="AB33" s="533"/>
      <c r="AC33" s="533"/>
      <c r="AD33" s="534"/>
      <c r="AE33" s="86"/>
      <c r="AF33" s="527"/>
      <c r="AG33" s="528"/>
      <c r="AH33" s="529"/>
      <c r="AI33" s="578"/>
      <c r="AJ33" s="579"/>
      <c r="AK33" s="580"/>
      <c r="AL33" s="581"/>
      <c r="AM33" s="582"/>
      <c r="AN33" s="583"/>
      <c r="AO33" s="527"/>
      <c r="AP33" s="529"/>
      <c r="AQ33" s="527"/>
      <c r="AR33" s="529"/>
    </row>
    <row r="34" spans="2:44" x14ac:dyDescent="0.2">
      <c r="B34" s="76"/>
      <c r="C34" s="527"/>
      <c r="D34" s="529"/>
      <c r="E34" s="572"/>
      <c r="F34" s="573"/>
      <c r="G34" s="573"/>
      <c r="H34" s="574"/>
      <c r="I34" s="572"/>
      <c r="J34" s="573"/>
      <c r="K34" s="573"/>
      <c r="L34" s="574"/>
      <c r="M34" s="575"/>
      <c r="N34" s="576"/>
      <c r="O34" s="576"/>
      <c r="P34" s="577"/>
      <c r="Q34" s="575"/>
      <c r="R34" s="576"/>
      <c r="S34" s="576"/>
      <c r="T34" s="577"/>
      <c r="U34" s="575"/>
      <c r="V34" s="576"/>
      <c r="W34" s="576"/>
      <c r="X34" s="577"/>
      <c r="Y34" s="530"/>
      <c r="Z34" s="531"/>
      <c r="AA34" s="532"/>
      <c r="AB34" s="533"/>
      <c r="AC34" s="533"/>
      <c r="AD34" s="534"/>
      <c r="AE34" s="81"/>
      <c r="AF34" s="527"/>
      <c r="AG34" s="528"/>
      <c r="AH34" s="529"/>
      <c r="AI34" s="578"/>
      <c r="AJ34" s="579"/>
      <c r="AK34" s="580"/>
      <c r="AL34" s="581"/>
      <c r="AM34" s="582"/>
      <c r="AN34" s="583"/>
      <c r="AO34" s="527"/>
      <c r="AP34" s="529"/>
      <c r="AQ34" s="527"/>
      <c r="AR34" s="529"/>
    </row>
    <row r="35" spans="2:44" x14ac:dyDescent="0.2">
      <c r="B35" s="87"/>
      <c r="C35" s="527"/>
      <c r="D35" s="529"/>
      <c r="E35" s="572"/>
      <c r="F35" s="573"/>
      <c r="G35" s="573"/>
      <c r="H35" s="574"/>
      <c r="I35" s="572"/>
      <c r="J35" s="573"/>
      <c r="K35" s="573"/>
      <c r="L35" s="574"/>
      <c r="M35" s="575"/>
      <c r="N35" s="576"/>
      <c r="O35" s="576"/>
      <c r="P35" s="577"/>
      <c r="Q35" s="575"/>
      <c r="R35" s="576"/>
      <c r="S35" s="576"/>
      <c r="T35" s="577"/>
      <c r="U35" s="575"/>
      <c r="V35" s="576"/>
      <c r="W35" s="576"/>
      <c r="X35" s="577"/>
      <c r="Y35" s="530"/>
      <c r="Z35" s="531"/>
      <c r="AA35" s="532"/>
      <c r="AB35" s="533"/>
      <c r="AC35" s="533"/>
      <c r="AD35" s="534"/>
      <c r="AE35" s="88"/>
      <c r="AF35" s="584"/>
      <c r="AG35" s="528"/>
      <c r="AH35" s="529"/>
      <c r="AI35" s="578"/>
      <c r="AJ35" s="579"/>
      <c r="AK35" s="580"/>
      <c r="AL35" s="581"/>
      <c r="AM35" s="582"/>
      <c r="AN35" s="583"/>
      <c r="AO35" s="527"/>
      <c r="AP35" s="529"/>
      <c r="AQ35" s="527"/>
      <c r="AR35" s="529"/>
    </row>
    <row r="36" spans="2:44" x14ac:dyDescent="0.2">
      <c r="H36" s="523" t="s">
        <v>120</v>
      </c>
      <c r="I36" s="524"/>
      <c r="J36" s="524"/>
      <c r="K36" s="524"/>
      <c r="L36" s="524"/>
      <c r="M36" s="525"/>
      <c r="N36" s="525"/>
      <c r="O36" s="525"/>
      <c r="P36" s="526"/>
      <c r="Q36" s="527" t="s">
        <v>95</v>
      </c>
      <c r="R36" s="528"/>
      <c r="S36" s="528"/>
      <c r="T36" s="529"/>
      <c r="U36" s="527"/>
      <c r="V36" s="528"/>
      <c r="W36" s="528"/>
      <c r="X36" s="529"/>
      <c r="Y36" s="530"/>
      <c r="Z36" s="531"/>
      <c r="AA36" s="532"/>
      <c r="AB36" s="533"/>
      <c r="AC36" s="533"/>
      <c r="AD36" s="534"/>
      <c r="AE36" s="81"/>
      <c r="AF36" s="527"/>
      <c r="AG36" s="528"/>
      <c r="AH36" s="529"/>
    </row>
    <row r="37" spans="2:44" ht="7.5" customHeight="1" x14ac:dyDescent="0.2"/>
    <row r="38" spans="2:44" ht="10.5" customHeight="1" x14ac:dyDescent="0.2">
      <c r="B38" s="545" t="s">
        <v>215</v>
      </c>
      <c r="C38" s="546"/>
      <c r="D38" s="546"/>
      <c r="E38" s="546"/>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7"/>
      <c r="AF38" s="548" t="s">
        <v>121</v>
      </c>
      <c r="AG38" s="549"/>
      <c r="AH38" s="549"/>
      <c r="AI38" s="549"/>
      <c r="AJ38" s="549"/>
      <c r="AK38" s="549"/>
      <c r="AL38" s="549"/>
      <c r="AM38" s="549"/>
      <c r="AN38" s="550"/>
      <c r="AO38" s="554" t="s">
        <v>122</v>
      </c>
      <c r="AP38" s="555"/>
      <c r="AQ38" s="555"/>
      <c r="AR38" s="556"/>
    </row>
    <row r="39" spans="2:44" ht="10.5" customHeight="1" x14ac:dyDescent="0.2">
      <c r="B39" s="544"/>
      <c r="C39" s="542"/>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3"/>
      <c r="AF39" s="551"/>
      <c r="AG39" s="552"/>
      <c r="AH39" s="552"/>
      <c r="AI39" s="552"/>
      <c r="AJ39" s="552"/>
      <c r="AK39" s="552"/>
      <c r="AL39" s="552"/>
      <c r="AM39" s="552"/>
      <c r="AN39" s="553"/>
      <c r="AO39" s="538"/>
      <c r="AP39" s="539"/>
      <c r="AQ39" s="539"/>
      <c r="AR39" s="540"/>
    </row>
    <row r="40" spans="2:44" ht="12.75" customHeight="1" x14ac:dyDescent="0.2">
      <c r="B40" s="554" t="s">
        <v>123</v>
      </c>
      <c r="C40" s="555"/>
      <c r="D40" s="555"/>
      <c r="E40" s="555"/>
      <c r="F40" s="555"/>
      <c r="G40" s="556"/>
      <c r="H40" s="557" t="s">
        <v>241</v>
      </c>
      <c r="I40" s="546"/>
      <c r="J40" s="546"/>
      <c r="K40" s="546"/>
      <c r="L40" s="546"/>
      <c r="M40" s="546"/>
      <c r="N40" s="546"/>
      <c r="O40" s="546"/>
      <c r="P40" s="547"/>
      <c r="Q40" s="548" t="s">
        <v>124</v>
      </c>
      <c r="R40" s="549"/>
      <c r="S40" s="549"/>
      <c r="T40" s="549"/>
      <c r="U40" s="549"/>
      <c r="V40" s="550"/>
      <c r="W40" s="545"/>
      <c r="X40" s="546"/>
      <c r="Y40" s="546"/>
      <c r="Z40" s="546"/>
      <c r="AA40" s="546"/>
      <c r="AB40" s="546"/>
      <c r="AC40" s="546"/>
      <c r="AD40" s="547"/>
      <c r="AE40" s="79"/>
      <c r="AF40" s="565"/>
      <c r="AG40" s="566"/>
      <c r="AH40" s="566"/>
      <c r="AI40" s="566"/>
      <c r="AJ40" s="566"/>
      <c r="AK40" s="566"/>
      <c r="AL40" s="566"/>
      <c r="AM40" s="566"/>
      <c r="AN40" s="567"/>
      <c r="AO40" s="58"/>
      <c r="AP40" s="59"/>
      <c r="AQ40" s="59"/>
      <c r="AR40" s="60"/>
    </row>
    <row r="41" spans="2:44" ht="12" customHeight="1" x14ac:dyDescent="0.2">
      <c r="B41" s="535"/>
      <c r="C41" s="536"/>
      <c r="D41" s="536"/>
      <c r="E41" s="536"/>
      <c r="F41" s="536"/>
      <c r="G41" s="537"/>
      <c r="H41" s="564"/>
      <c r="I41" s="562"/>
      <c r="J41" s="562"/>
      <c r="K41" s="562"/>
      <c r="L41" s="562"/>
      <c r="M41" s="562"/>
      <c r="N41" s="562"/>
      <c r="O41" s="562"/>
      <c r="P41" s="563"/>
      <c r="Q41" s="558"/>
      <c r="R41" s="559"/>
      <c r="S41" s="559"/>
      <c r="T41" s="559"/>
      <c r="U41" s="559"/>
      <c r="V41" s="560"/>
      <c r="W41" s="564"/>
      <c r="X41" s="562"/>
      <c r="Y41" s="562"/>
      <c r="Z41" s="562"/>
      <c r="AA41" s="562"/>
      <c r="AB41" s="562"/>
      <c r="AC41" s="562"/>
      <c r="AD41" s="563"/>
      <c r="AE41" s="79"/>
      <c r="AF41" s="568"/>
      <c r="AG41" s="569"/>
      <c r="AH41" s="569"/>
      <c r="AI41" s="569"/>
      <c r="AJ41" s="569"/>
      <c r="AK41" s="569"/>
      <c r="AL41" s="569"/>
      <c r="AM41" s="569"/>
      <c r="AN41" s="570"/>
      <c r="AO41" s="61"/>
      <c r="AP41" s="62"/>
      <c r="AQ41" s="63"/>
      <c r="AR41" s="64"/>
    </row>
    <row r="42" spans="2:44" x14ac:dyDescent="0.2">
      <c r="B42" s="535"/>
      <c r="C42" s="536"/>
      <c r="D42" s="536"/>
      <c r="E42" s="536"/>
      <c r="F42" s="536"/>
      <c r="G42" s="537"/>
      <c r="H42" s="561" t="s">
        <v>238</v>
      </c>
      <c r="I42" s="562"/>
      <c r="J42" s="562"/>
      <c r="K42" s="562"/>
      <c r="L42" s="562"/>
      <c r="M42" s="562"/>
      <c r="N42" s="562"/>
      <c r="O42" s="562"/>
      <c r="P42" s="563"/>
      <c r="Q42" s="558"/>
      <c r="R42" s="559"/>
      <c r="S42" s="559"/>
      <c r="T42" s="559"/>
      <c r="U42" s="559"/>
      <c r="V42" s="560"/>
      <c r="W42" s="564"/>
      <c r="X42" s="562"/>
      <c r="Y42" s="562"/>
      <c r="Z42" s="562"/>
      <c r="AA42" s="562"/>
      <c r="AB42" s="562"/>
      <c r="AC42" s="562"/>
      <c r="AD42" s="563"/>
      <c r="AE42" s="79"/>
      <c r="AF42" s="568"/>
      <c r="AG42" s="569"/>
      <c r="AH42" s="569"/>
      <c r="AI42" s="569"/>
      <c r="AJ42" s="569"/>
      <c r="AK42" s="569"/>
      <c r="AL42" s="569"/>
      <c r="AM42" s="569"/>
      <c r="AN42" s="570"/>
      <c r="AO42" s="535" t="s">
        <v>125</v>
      </c>
      <c r="AP42" s="536"/>
      <c r="AQ42" s="536"/>
      <c r="AR42" s="537"/>
    </row>
    <row r="43" spans="2:44" x14ac:dyDescent="0.2">
      <c r="B43" s="538"/>
      <c r="C43" s="539"/>
      <c r="D43" s="539"/>
      <c r="E43" s="539"/>
      <c r="F43" s="539"/>
      <c r="G43" s="540"/>
      <c r="H43" s="541">
        <f>'ÖDEME EMRİ'!N57</f>
        <v>0</v>
      </c>
      <c r="I43" s="542"/>
      <c r="J43" s="542"/>
      <c r="K43" s="542"/>
      <c r="L43" s="542"/>
      <c r="M43" s="542"/>
      <c r="N43" s="542"/>
      <c r="O43" s="542"/>
      <c r="P43" s="543"/>
      <c r="Q43" s="551"/>
      <c r="R43" s="552"/>
      <c r="S43" s="552"/>
      <c r="T43" s="552"/>
      <c r="U43" s="552"/>
      <c r="V43" s="553"/>
      <c r="W43" s="544"/>
      <c r="X43" s="542"/>
      <c r="Y43" s="542"/>
      <c r="Z43" s="542"/>
      <c r="AA43" s="542"/>
      <c r="AB43" s="542"/>
      <c r="AC43" s="542"/>
      <c r="AD43" s="543"/>
      <c r="AE43" s="79"/>
      <c r="AF43" s="523"/>
      <c r="AG43" s="524"/>
      <c r="AH43" s="524"/>
      <c r="AI43" s="524"/>
      <c r="AJ43" s="524"/>
      <c r="AK43" s="524"/>
      <c r="AL43" s="524"/>
      <c r="AM43" s="524"/>
      <c r="AN43" s="571"/>
      <c r="AO43" s="538"/>
      <c r="AP43" s="539"/>
      <c r="AQ43" s="539"/>
      <c r="AR43" s="540"/>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zoomScale="115" zoomScaleNormal="115" workbookViewId="0">
      <selection activeCell="F20" sqref="F20"/>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8.7109375" customWidth="1"/>
    <col min="7" max="7" width="7.7109375" customWidth="1"/>
    <col min="8" max="8" width="0.28515625" customWidth="1"/>
    <col min="9" max="10" width="0.42578125" customWidth="1"/>
    <col min="11" max="11" width="0.28515625" customWidth="1"/>
    <col min="12" max="12" width="3.140625" customWidth="1"/>
    <col min="13" max="13" width="2.85546875" customWidth="1"/>
    <col min="14" max="14" width="2.7109375" customWidth="1"/>
    <col min="15" max="16" width="2.85546875" customWidth="1"/>
    <col min="17" max="20" width="3.28515625" customWidth="1"/>
    <col min="21" max="38" width="3" customWidth="1"/>
    <col min="39" max="39" width="3.28515625" customWidth="1"/>
    <col min="40" max="40" width="3.5703125" customWidth="1"/>
    <col min="41" max="41" width="3.7109375" customWidth="1"/>
  </cols>
  <sheetData>
    <row r="1" spans="1:41" x14ac:dyDescent="0.2">
      <c r="A1" s="437" t="s">
        <v>255</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258"/>
    </row>
    <row r="2" spans="1:41" x14ac:dyDescent="0.2">
      <c r="X2" s="1" t="s">
        <v>219</v>
      </c>
      <c r="Z2" s="190"/>
      <c r="AA2" s="190"/>
      <c r="AD2" s="66" t="str">
        <f>KONTROL!C1</f>
        <v>NİSAN</v>
      </c>
      <c r="AG2" s="1" t="s">
        <v>257</v>
      </c>
      <c r="AI2" s="661">
        <f>KONTROL!C2</f>
        <v>2022</v>
      </c>
      <c r="AJ2" s="661"/>
      <c r="AK2" s="661"/>
    </row>
    <row r="3" spans="1:41" s="195" customFormat="1" ht="42.6" customHeight="1" x14ac:dyDescent="0.2">
      <c r="A3" s="231" t="s">
        <v>256</v>
      </c>
      <c r="B3" s="231" t="s">
        <v>185</v>
      </c>
      <c r="C3" s="231" t="s">
        <v>186</v>
      </c>
      <c r="D3" s="230" t="s">
        <v>299</v>
      </c>
      <c r="E3" s="230" t="s">
        <v>297</v>
      </c>
      <c r="F3" s="230" t="s">
        <v>298</v>
      </c>
      <c r="G3" s="230" t="s">
        <v>5</v>
      </c>
      <c r="H3" s="259">
        <v>0</v>
      </c>
      <c r="I3" s="259">
        <v>0</v>
      </c>
      <c r="J3" s="259">
        <v>0</v>
      </c>
      <c r="K3" s="256">
        <v>0</v>
      </c>
      <c r="L3" s="257">
        <v>1</v>
      </c>
      <c r="M3" s="673">
        <v>2</v>
      </c>
      <c r="N3" s="672">
        <v>3</v>
      </c>
      <c r="O3" s="259">
        <v>4</v>
      </c>
      <c r="P3" s="261">
        <v>5</v>
      </c>
      <c r="Q3" s="259">
        <v>6</v>
      </c>
      <c r="R3" s="261">
        <v>7</v>
      </c>
      <c r="S3" s="259">
        <v>8</v>
      </c>
      <c r="T3" s="672">
        <v>9</v>
      </c>
      <c r="U3" s="673">
        <v>10</v>
      </c>
      <c r="V3" s="261">
        <v>11</v>
      </c>
      <c r="W3" s="259">
        <v>12</v>
      </c>
      <c r="X3" s="261">
        <v>13</v>
      </c>
      <c r="Y3" s="259">
        <v>14</v>
      </c>
      <c r="Z3" s="261">
        <v>15</v>
      </c>
      <c r="AA3" s="673">
        <v>16</v>
      </c>
      <c r="AB3" s="672">
        <v>17</v>
      </c>
      <c r="AC3" s="259">
        <v>18</v>
      </c>
      <c r="AD3" s="261">
        <v>19</v>
      </c>
      <c r="AE3" s="259">
        <v>20</v>
      </c>
      <c r="AF3" s="261">
        <v>21</v>
      </c>
      <c r="AG3" s="259">
        <v>22</v>
      </c>
      <c r="AH3" s="672">
        <v>23</v>
      </c>
      <c r="AI3" s="673">
        <v>24</v>
      </c>
      <c r="AJ3" s="261">
        <v>25</v>
      </c>
      <c r="AK3" s="259">
        <v>26</v>
      </c>
      <c r="AL3" s="261">
        <v>27</v>
      </c>
      <c r="AM3" s="259">
        <v>28</v>
      </c>
      <c r="AN3" s="261">
        <v>29</v>
      </c>
      <c r="AO3" s="672">
        <v>30</v>
      </c>
    </row>
    <row r="4" spans="1:41" ht="17.45" customHeight="1" x14ac:dyDescent="0.2">
      <c r="A4" s="161">
        <v>1</v>
      </c>
      <c r="B4" s="249" t="str">
        <f>'BİLGİ GİRİŞİ'!B3</f>
        <v>ESRA</v>
      </c>
      <c r="C4" s="232" t="str">
        <f>'BİLGİ GİRİŞİ'!C3</f>
        <v>GÜMÜŞ</v>
      </c>
      <c r="D4" s="255"/>
      <c r="E4" s="255">
        <f>SUM(H4:AN4)</f>
        <v>96</v>
      </c>
      <c r="F4" s="255"/>
      <c r="G4" s="255">
        <f>SUM(E4:F4)</f>
        <v>96</v>
      </c>
      <c r="H4" s="236"/>
      <c r="I4" s="236"/>
      <c r="J4" s="236"/>
      <c r="K4" s="236"/>
      <c r="L4" s="236">
        <v>6</v>
      </c>
      <c r="M4" s="674"/>
      <c r="N4" s="674"/>
      <c r="O4" s="236">
        <v>6</v>
      </c>
      <c r="P4" s="236">
        <v>6</v>
      </c>
      <c r="Q4" s="236">
        <v>6</v>
      </c>
      <c r="R4" s="236">
        <v>6</v>
      </c>
      <c r="S4" s="236">
        <v>6</v>
      </c>
      <c r="T4" s="674"/>
      <c r="U4" s="674"/>
      <c r="V4" s="236"/>
      <c r="W4" s="236"/>
      <c r="X4" s="236"/>
      <c r="Y4" s="236"/>
      <c r="Z4" s="236"/>
      <c r="AA4" s="674"/>
      <c r="AB4" s="674"/>
      <c r="AC4" s="236">
        <v>6</v>
      </c>
      <c r="AD4" s="236">
        <v>6</v>
      </c>
      <c r="AE4" s="236">
        <v>6</v>
      </c>
      <c r="AF4" s="236">
        <v>6</v>
      </c>
      <c r="AG4" s="236">
        <v>6</v>
      </c>
      <c r="AH4" s="674"/>
      <c r="AI4" s="674"/>
      <c r="AJ4" s="236">
        <v>6</v>
      </c>
      <c r="AK4" s="236">
        <v>6</v>
      </c>
      <c r="AL4" s="236">
        <v>6</v>
      </c>
      <c r="AM4" s="236">
        <v>6</v>
      </c>
      <c r="AN4" s="236">
        <v>6</v>
      </c>
      <c r="AO4" s="674"/>
    </row>
    <row r="5" spans="1:41" s="671" customFormat="1" x14ac:dyDescent="0.2">
      <c r="A5" s="260">
        <v>2</v>
      </c>
      <c r="B5" s="249" t="str">
        <f>'BİLGİ GİRİŞİ'!B4</f>
        <v>ŞERİFE</v>
      </c>
      <c r="C5" s="249" t="str">
        <f>'BİLGİ GİRİŞİ'!C4</f>
        <v>GÜNAL</v>
      </c>
      <c r="D5" s="261"/>
      <c r="E5" s="261"/>
      <c r="F5" s="261">
        <f>SUM(H5:AN5)</f>
        <v>82</v>
      </c>
      <c r="G5" s="261">
        <f>SUM(E5:F5)</f>
        <v>82</v>
      </c>
      <c r="H5" s="261"/>
      <c r="I5" s="261"/>
      <c r="J5" s="261"/>
      <c r="K5" s="261"/>
      <c r="L5" s="261"/>
      <c r="M5" s="672"/>
      <c r="N5" s="672"/>
      <c r="O5" s="261">
        <v>8</v>
      </c>
      <c r="P5" s="261">
        <v>7</v>
      </c>
      <c r="Q5" s="261">
        <v>8</v>
      </c>
      <c r="R5" s="261">
        <v>7</v>
      </c>
      <c r="S5" s="261"/>
      <c r="T5" s="672"/>
      <c r="U5" s="672"/>
      <c r="V5" s="261"/>
      <c r="W5" s="261"/>
      <c r="X5" s="261"/>
      <c r="Y5" s="261"/>
      <c r="Z5" s="261"/>
      <c r="AA5" s="672"/>
      <c r="AB5" s="672"/>
      <c r="AC5" s="261">
        <v>8</v>
      </c>
      <c r="AD5" s="261">
        <v>8</v>
      </c>
      <c r="AE5" s="261">
        <v>5</v>
      </c>
      <c r="AF5" s="261">
        <v>5</v>
      </c>
      <c r="AG5" s="261"/>
      <c r="AH5" s="672"/>
      <c r="AI5" s="672"/>
      <c r="AJ5" s="261">
        <v>8</v>
      </c>
      <c r="AK5" s="261">
        <v>8</v>
      </c>
      <c r="AL5" s="261">
        <v>5</v>
      </c>
      <c r="AM5" s="261">
        <v>5</v>
      </c>
      <c r="AN5" s="261"/>
      <c r="AO5" s="672"/>
    </row>
    <row r="6" spans="1:41" s="671" customFormat="1" x14ac:dyDescent="0.2">
      <c r="A6" s="260">
        <v>3</v>
      </c>
      <c r="B6" s="249" t="str">
        <f>'BİLGİ GİRİŞİ'!B5</f>
        <v>HATİCE</v>
      </c>
      <c r="C6" s="249" t="str">
        <f>'BİLGİ GİRİŞİ'!C5</f>
        <v>SUCU</v>
      </c>
      <c r="D6" s="261"/>
      <c r="E6" s="261"/>
      <c r="F6" s="261">
        <f>SUM(H6:AN6)</f>
        <v>48</v>
      </c>
      <c r="G6" s="261">
        <f>SUM(E6:F6)</f>
        <v>48</v>
      </c>
      <c r="H6" s="261"/>
      <c r="I6" s="261"/>
      <c r="J6" s="261"/>
      <c r="K6" s="261"/>
      <c r="L6" s="236"/>
      <c r="M6" s="672"/>
      <c r="N6" s="672"/>
      <c r="O6" s="261">
        <v>9</v>
      </c>
      <c r="P6" s="261">
        <v>7</v>
      </c>
      <c r="Q6" s="261"/>
      <c r="R6" s="261"/>
      <c r="S6" s="236"/>
      <c r="T6" s="672"/>
      <c r="U6" s="672"/>
      <c r="V6" s="261"/>
      <c r="W6" s="261"/>
      <c r="X6" s="261"/>
      <c r="Y6" s="261"/>
      <c r="Z6" s="236"/>
      <c r="AA6" s="672"/>
      <c r="AB6" s="672"/>
      <c r="AC6" s="261">
        <v>8</v>
      </c>
      <c r="AD6" s="261">
        <v>8</v>
      </c>
      <c r="AE6" s="261"/>
      <c r="AF6" s="261"/>
      <c r="AG6" s="236"/>
      <c r="AH6" s="672"/>
      <c r="AI6" s="672"/>
      <c r="AJ6" s="261">
        <v>8</v>
      </c>
      <c r="AK6" s="261">
        <v>8</v>
      </c>
      <c r="AL6" s="261"/>
      <c r="AM6" s="261"/>
      <c r="AN6" s="261"/>
      <c r="AO6" s="672"/>
    </row>
    <row r="7" spans="1:41" s="671" customFormat="1" x14ac:dyDescent="0.2">
      <c r="A7" s="260">
        <v>4</v>
      </c>
      <c r="B7" s="249" t="str">
        <f>'BİLGİ GİRİŞİ'!B6</f>
        <v>YASİN</v>
      </c>
      <c r="C7" s="249" t="str">
        <f>'BİLGİ GİRİŞİ'!C6</f>
        <v>DAYANKAÇ</v>
      </c>
      <c r="D7" s="261">
        <f>M7+T7+AA7+AH7+AG7+AN7+AO7</f>
        <v>20</v>
      </c>
      <c r="E7" s="261"/>
      <c r="F7" s="261">
        <f>SUM(H7:AO7)-D7</f>
        <v>70</v>
      </c>
      <c r="G7" s="261">
        <f>SUM(D7:F7)</f>
        <v>90</v>
      </c>
      <c r="H7" s="261"/>
      <c r="I7" s="254"/>
      <c r="J7" s="261"/>
      <c r="K7" s="261"/>
      <c r="L7" s="261">
        <v>8</v>
      </c>
      <c r="M7" s="675">
        <v>4</v>
      </c>
      <c r="N7" s="672"/>
      <c r="O7" s="261">
        <v>4</v>
      </c>
      <c r="P7" s="254"/>
      <c r="Q7" s="261">
        <v>8</v>
      </c>
      <c r="R7" s="261">
        <v>6</v>
      </c>
      <c r="S7" s="261">
        <v>8</v>
      </c>
      <c r="T7" s="675">
        <v>4</v>
      </c>
      <c r="U7" s="672"/>
      <c r="V7" s="261"/>
      <c r="W7" s="254"/>
      <c r="X7" s="261"/>
      <c r="Y7" s="261"/>
      <c r="Z7" s="261"/>
      <c r="AA7" s="675"/>
      <c r="AB7" s="672"/>
      <c r="AC7" s="261"/>
      <c r="AD7" s="261">
        <v>8</v>
      </c>
      <c r="AE7" s="261">
        <v>6</v>
      </c>
      <c r="AF7" s="261">
        <v>4</v>
      </c>
      <c r="AG7" s="676">
        <v>4</v>
      </c>
      <c r="AH7" s="675"/>
      <c r="AI7" s="672"/>
      <c r="AJ7" s="261"/>
      <c r="AK7" s="261">
        <v>8</v>
      </c>
      <c r="AL7" s="261">
        <v>6</v>
      </c>
      <c r="AM7" s="261">
        <v>4</v>
      </c>
      <c r="AN7" s="676">
        <v>2</v>
      </c>
      <c r="AO7" s="675">
        <v>6</v>
      </c>
    </row>
    <row r="8" spans="1:41" s="671" customFormat="1" x14ac:dyDescent="0.2">
      <c r="A8" s="260">
        <v>5</v>
      </c>
      <c r="B8" s="249" t="str">
        <f>'BİLGİ GİRİŞİ'!B7</f>
        <v>REFİYE RANA</v>
      </c>
      <c r="C8" s="249" t="str">
        <f>'BİLGİ GİRİŞİ'!C7</f>
        <v>TOK</v>
      </c>
      <c r="D8" s="261">
        <f>M8+T8+AA8+AH8+AO8</f>
        <v>9</v>
      </c>
      <c r="E8" s="261">
        <f>K8+L8+R8+S8+Y8+Z8+AF8+AG8+AM8+AN8</f>
        <v>51</v>
      </c>
      <c r="F8" s="261">
        <f>SUM(L8:AO8)-D8-E8</f>
        <v>65</v>
      </c>
      <c r="G8" s="261">
        <f>SUM(D8:F8)</f>
        <v>125</v>
      </c>
      <c r="H8" s="261"/>
      <c r="I8" s="261"/>
      <c r="J8" s="261"/>
      <c r="K8" s="236"/>
      <c r="L8" s="236">
        <v>7</v>
      </c>
      <c r="M8" s="675">
        <v>3</v>
      </c>
      <c r="N8" s="672"/>
      <c r="O8" s="261">
        <v>8</v>
      </c>
      <c r="P8" s="261">
        <v>8</v>
      </c>
      <c r="Q8" s="261">
        <v>7</v>
      </c>
      <c r="R8" s="236">
        <v>7</v>
      </c>
      <c r="S8" s="236">
        <v>7</v>
      </c>
      <c r="T8" s="675">
        <v>3</v>
      </c>
      <c r="U8" s="672"/>
      <c r="V8" s="261"/>
      <c r="W8" s="261"/>
      <c r="X8" s="261"/>
      <c r="Y8" s="236"/>
      <c r="Z8" s="236"/>
      <c r="AA8" s="675"/>
      <c r="AB8" s="672"/>
      <c r="AC8" s="261">
        <v>7</v>
      </c>
      <c r="AD8" s="261">
        <v>7</v>
      </c>
      <c r="AE8" s="261">
        <v>7</v>
      </c>
      <c r="AF8" s="236">
        <v>8</v>
      </c>
      <c r="AG8" s="236">
        <v>7</v>
      </c>
      <c r="AH8" s="675"/>
      <c r="AI8" s="672"/>
      <c r="AJ8" s="261">
        <v>7</v>
      </c>
      <c r="AK8" s="261">
        <v>7</v>
      </c>
      <c r="AL8" s="261">
        <v>7</v>
      </c>
      <c r="AM8" s="236">
        <v>8</v>
      </c>
      <c r="AN8" s="236">
        <v>7</v>
      </c>
      <c r="AO8" s="675">
        <v>3</v>
      </c>
    </row>
    <row r="9" spans="1:41" s="671" customFormat="1" x14ac:dyDescent="0.2">
      <c r="A9" s="260">
        <v>6</v>
      </c>
      <c r="B9" s="249" t="str">
        <f>'BİLGİ GİRİŞİ'!B8</f>
        <v>YUSUF</v>
      </c>
      <c r="C9" s="249" t="str">
        <f>'BİLGİ GİRİŞİ'!C8</f>
        <v>ARABACI</v>
      </c>
      <c r="D9" s="260">
        <f>M9+T9+AH9+AO9</f>
        <v>18</v>
      </c>
      <c r="E9" s="260"/>
      <c r="F9" s="260">
        <f>SUM(I9:AO9)-D9</f>
        <v>35</v>
      </c>
      <c r="G9" s="260">
        <f>SUM(D9:F9)</f>
        <v>53</v>
      </c>
      <c r="H9" s="260"/>
      <c r="I9" s="261"/>
      <c r="J9" s="261"/>
      <c r="K9" s="260"/>
      <c r="L9" s="261"/>
      <c r="M9" s="675">
        <v>6</v>
      </c>
      <c r="N9" s="672"/>
      <c r="O9" s="260">
        <v>6</v>
      </c>
      <c r="P9" s="261"/>
      <c r="Q9" s="261">
        <v>6</v>
      </c>
      <c r="R9" s="260">
        <v>3</v>
      </c>
      <c r="S9" s="261"/>
      <c r="T9" s="675">
        <v>6</v>
      </c>
      <c r="U9" s="672"/>
      <c r="V9" s="260"/>
      <c r="W9" s="261"/>
      <c r="X9" s="261"/>
      <c r="Y9" s="260"/>
      <c r="Z9" s="261"/>
      <c r="AA9" s="675"/>
      <c r="AB9" s="672"/>
      <c r="AC9" s="260">
        <v>4</v>
      </c>
      <c r="AD9" s="261"/>
      <c r="AE9" s="261">
        <v>6</v>
      </c>
      <c r="AF9" s="260"/>
      <c r="AG9" s="261"/>
      <c r="AH9" s="675"/>
      <c r="AI9" s="672"/>
      <c r="AJ9" s="260">
        <v>4</v>
      </c>
      <c r="AK9" s="261"/>
      <c r="AL9" s="261">
        <v>6</v>
      </c>
      <c r="AM9" s="260"/>
      <c r="AN9" s="261"/>
      <c r="AO9" s="675">
        <v>6</v>
      </c>
    </row>
    <row r="10" spans="1:41" s="671" customFormat="1" x14ac:dyDescent="0.2">
      <c r="A10" s="260">
        <v>7</v>
      </c>
      <c r="B10" s="249" t="str">
        <f>'BİLGİ GİRİŞİ'!B9</f>
        <v>ASLI</v>
      </c>
      <c r="C10" s="249" t="str">
        <f>'BİLGİ GİRİŞİ'!C9</f>
        <v>ÜSTELİK</v>
      </c>
      <c r="D10" s="260"/>
      <c r="E10" s="260"/>
      <c r="F10" s="260">
        <f>SUM(H10:AN10)</f>
        <v>75</v>
      </c>
      <c r="G10" s="260">
        <f>SUM(E10:F10)</f>
        <v>75</v>
      </c>
      <c r="H10" s="260"/>
      <c r="I10" s="261"/>
      <c r="J10" s="261"/>
      <c r="K10" s="196"/>
      <c r="L10" s="261">
        <v>7</v>
      </c>
      <c r="M10" s="672"/>
      <c r="N10" s="672"/>
      <c r="O10" s="260">
        <v>8</v>
      </c>
      <c r="P10" s="261">
        <v>9</v>
      </c>
      <c r="Q10" s="261"/>
      <c r="R10" s="196"/>
      <c r="S10" s="261">
        <v>7</v>
      </c>
      <c r="T10" s="672"/>
      <c r="U10" s="672"/>
      <c r="V10" s="260"/>
      <c r="W10" s="261"/>
      <c r="X10" s="261"/>
      <c r="Y10" s="196"/>
      <c r="Z10" s="261"/>
      <c r="AA10" s="672"/>
      <c r="AB10" s="672"/>
      <c r="AC10" s="260">
        <v>5</v>
      </c>
      <c r="AD10" s="261">
        <v>9</v>
      </c>
      <c r="AE10" s="261"/>
      <c r="AF10" s="196"/>
      <c r="AG10" s="261">
        <v>8</v>
      </c>
      <c r="AH10" s="672"/>
      <c r="AI10" s="672"/>
      <c r="AJ10" s="260">
        <v>5</v>
      </c>
      <c r="AK10" s="261">
        <v>9</v>
      </c>
      <c r="AL10" s="261"/>
      <c r="AM10" s="196"/>
      <c r="AN10" s="261">
        <v>8</v>
      </c>
      <c r="AO10" s="672"/>
    </row>
    <row r="11" spans="1:41" s="671" customFormat="1" x14ac:dyDescent="0.2">
      <c r="A11" s="260">
        <v>8</v>
      </c>
      <c r="B11" s="249" t="str">
        <f>'BİLGİ GİRİŞİ'!B10</f>
        <v>ÖZNUR</v>
      </c>
      <c r="C11" s="249" t="str">
        <f>'BİLGİ GİRİŞİ'!C10</f>
        <v>ATACAN</v>
      </c>
      <c r="D11" s="261"/>
      <c r="E11" s="261">
        <f>SUM(H11:AN11)</f>
        <v>96</v>
      </c>
      <c r="F11" s="261"/>
      <c r="G11" s="261">
        <f>SUM(E11:F11)</f>
        <v>96</v>
      </c>
      <c r="H11" s="260"/>
      <c r="I11" s="261"/>
      <c r="J11" s="261"/>
      <c r="K11" s="196"/>
      <c r="L11" s="236">
        <f>L4</f>
        <v>6</v>
      </c>
      <c r="M11" s="674"/>
      <c r="N11" s="674"/>
      <c r="O11" s="236">
        <f t="shared" ref="M11:AN11" si="0">O4</f>
        <v>6</v>
      </c>
      <c r="P11" s="236">
        <f t="shared" si="0"/>
        <v>6</v>
      </c>
      <c r="Q11" s="236">
        <f t="shared" si="0"/>
        <v>6</v>
      </c>
      <c r="R11" s="236">
        <f t="shared" si="0"/>
        <v>6</v>
      </c>
      <c r="S11" s="236">
        <f t="shared" si="0"/>
        <v>6</v>
      </c>
      <c r="T11" s="674"/>
      <c r="U11" s="674"/>
      <c r="V11" s="236"/>
      <c r="W11" s="236"/>
      <c r="X11" s="236"/>
      <c r="Y11" s="236"/>
      <c r="Z11" s="236"/>
      <c r="AA11" s="674"/>
      <c r="AB11" s="674"/>
      <c r="AC11" s="236">
        <f t="shared" si="0"/>
        <v>6</v>
      </c>
      <c r="AD11" s="236">
        <f t="shared" si="0"/>
        <v>6</v>
      </c>
      <c r="AE11" s="236">
        <f t="shared" si="0"/>
        <v>6</v>
      </c>
      <c r="AF11" s="236">
        <f t="shared" si="0"/>
        <v>6</v>
      </c>
      <c r="AG11" s="236">
        <f t="shared" si="0"/>
        <v>6</v>
      </c>
      <c r="AH11" s="674"/>
      <c r="AI11" s="674"/>
      <c r="AJ11" s="236">
        <f t="shared" si="0"/>
        <v>6</v>
      </c>
      <c r="AK11" s="236">
        <f t="shared" si="0"/>
        <v>6</v>
      </c>
      <c r="AL11" s="236">
        <f t="shared" si="0"/>
        <v>6</v>
      </c>
      <c r="AM11" s="236">
        <f t="shared" si="0"/>
        <v>6</v>
      </c>
      <c r="AN11" s="236">
        <f t="shared" si="0"/>
        <v>6</v>
      </c>
      <c r="AO11" s="672"/>
    </row>
    <row r="12" spans="1:41" s="671" customFormat="1" x14ac:dyDescent="0.2">
      <c r="A12" s="260">
        <v>9</v>
      </c>
      <c r="B12" s="249" t="s">
        <v>321</v>
      </c>
      <c r="C12" s="249" t="s">
        <v>322</v>
      </c>
      <c r="D12" s="261"/>
      <c r="E12" s="261">
        <f>P12</f>
        <v>1</v>
      </c>
      <c r="F12" s="261">
        <f>SUM(H12:AO12)-P12</f>
        <v>75</v>
      </c>
      <c r="G12" s="261">
        <f>SUM(E12:F12)</f>
        <v>76</v>
      </c>
      <c r="H12" s="260"/>
      <c r="I12" s="236"/>
      <c r="J12" s="261"/>
      <c r="K12" s="260"/>
      <c r="L12" s="261">
        <v>9</v>
      </c>
      <c r="M12" s="672"/>
      <c r="N12" s="672"/>
      <c r="O12" s="260"/>
      <c r="P12" s="236">
        <v>1</v>
      </c>
      <c r="Q12" s="261">
        <v>8</v>
      </c>
      <c r="R12" s="260">
        <v>5</v>
      </c>
      <c r="S12" s="261">
        <v>9</v>
      </c>
      <c r="T12" s="672"/>
      <c r="U12" s="672"/>
      <c r="V12" s="260"/>
      <c r="W12" s="236"/>
      <c r="X12" s="261"/>
      <c r="Y12" s="261"/>
      <c r="Z12" s="261"/>
      <c r="AA12" s="672"/>
      <c r="AB12" s="672"/>
      <c r="AC12" s="260">
        <v>5</v>
      </c>
      <c r="AD12" s="236"/>
      <c r="AE12" s="261">
        <v>8</v>
      </c>
      <c r="AF12" s="261"/>
      <c r="AG12" s="261">
        <v>9</v>
      </c>
      <c r="AH12" s="672"/>
      <c r="AI12" s="672"/>
      <c r="AJ12" s="260">
        <v>5</v>
      </c>
      <c r="AK12" s="236"/>
      <c r="AL12" s="261">
        <v>8</v>
      </c>
      <c r="AM12" s="261"/>
      <c r="AN12" s="261">
        <v>9</v>
      </c>
      <c r="AO12" s="672"/>
    </row>
    <row r="13" spans="1:41" x14ac:dyDescent="0.2">
      <c r="A13" s="161"/>
      <c r="B13" s="161"/>
      <c r="C13" s="161" t="s">
        <v>5</v>
      </c>
      <c r="D13" s="161">
        <f>SUM(D4:D12)</f>
        <v>47</v>
      </c>
      <c r="E13" s="161">
        <f t="shared" ref="E13:F13" si="1">SUM(E4:E12)</f>
        <v>244</v>
      </c>
      <c r="F13" s="161">
        <f t="shared" si="1"/>
        <v>450</v>
      </c>
      <c r="G13" s="155">
        <f>SUM(G4:G12)</f>
        <v>741</v>
      </c>
      <c r="H13" s="250"/>
      <c r="I13" s="251"/>
      <c r="J13" s="251"/>
      <c r="K13" s="196"/>
      <c r="L13" s="235"/>
      <c r="M13" s="672"/>
      <c r="N13" s="672"/>
      <c r="O13" s="250"/>
      <c r="P13" s="251"/>
      <c r="Q13" s="251"/>
      <c r="R13" s="196"/>
      <c r="S13" s="261"/>
      <c r="T13" s="672"/>
      <c r="U13" s="672"/>
      <c r="V13" s="250"/>
      <c r="W13" s="251"/>
      <c r="X13" s="251"/>
      <c r="Y13" s="196"/>
      <c r="Z13" s="251"/>
      <c r="AA13" s="672"/>
      <c r="AB13" s="672"/>
      <c r="AC13" s="250"/>
      <c r="AD13" s="251"/>
      <c r="AE13" s="251"/>
      <c r="AF13" s="196"/>
      <c r="AG13" s="251"/>
      <c r="AH13" s="672"/>
      <c r="AI13" s="672"/>
      <c r="AJ13" s="250"/>
      <c r="AK13" s="251"/>
      <c r="AL13" s="252"/>
      <c r="AM13" s="196"/>
      <c r="AN13" s="261"/>
      <c r="AO13" s="672"/>
    </row>
    <row r="14" spans="1:41" hidden="1" x14ac:dyDescent="0.2">
      <c r="A14" s="161">
        <v>10</v>
      </c>
      <c r="B14" s="161">
        <f>'BİLGİ GİRİŞİ'!B12</f>
        <v>0</v>
      </c>
      <c r="C14" s="161">
        <f>'BİLGİ GİRİŞİ'!C12</f>
        <v>0</v>
      </c>
      <c r="D14" s="161"/>
      <c r="E14" s="161"/>
      <c r="F14" s="161">
        <f t="shared" ref="F14:F19" si="2">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3"/>
      <c r="AL14" s="253"/>
    </row>
    <row r="15" spans="1:41" hidden="1" x14ac:dyDescent="0.2">
      <c r="A15" s="161">
        <v>11</v>
      </c>
      <c r="B15" s="161">
        <f>'BİLGİ GİRİŞİ'!B13</f>
        <v>0</v>
      </c>
      <c r="C15" s="161">
        <f>'BİLGİ GİRİŞİ'!C13</f>
        <v>0</v>
      </c>
      <c r="D15" s="161"/>
      <c r="E15" s="161"/>
      <c r="F15" s="161">
        <f t="shared" si="2"/>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1" hidden="1" x14ac:dyDescent="0.2">
      <c r="A16" s="161">
        <v>12</v>
      </c>
      <c r="B16" s="161">
        <f>'BİLGİ GİRİŞİ'!B14</f>
        <v>0</v>
      </c>
      <c r="C16" s="161">
        <f>'BİLGİ GİRİŞİ'!C14</f>
        <v>0</v>
      </c>
      <c r="D16" s="161"/>
      <c r="E16" s="161"/>
      <c r="F16" s="161">
        <f t="shared" si="2"/>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13</v>
      </c>
      <c r="B17" s="161">
        <f>'BİLGİ GİRİŞİ'!B15</f>
        <v>0</v>
      </c>
      <c r="C17" s="161">
        <f>'BİLGİ GİRİŞİ'!C15</f>
        <v>0</v>
      </c>
      <c r="D17" s="161"/>
      <c r="E17" s="161"/>
      <c r="F17" s="161">
        <f t="shared" si="2"/>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14</v>
      </c>
      <c r="B18" s="161">
        <f>'BİLGİ GİRİŞİ'!B16</f>
        <v>0</v>
      </c>
      <c r="C18" s="161">
        <f>'BİLGİ GİRİŞİ'!C16</f>
        <v>0</v>
      </c>
      <c r="D18" s="161"/>
      <c r="E18" s="161"/>
      <c r="F18" s="161">
        <f t="shared" si="2"/>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x14ac:dyDescent="0.2">
      <c r="A19" s="161">
        <v>15</v>
      </c>
      <c r="B19" s="161">
        <f>'BİLGİ GİRİŞİ'!B17</f>
        <v>0</v>
      </c>
      <c r="C19" s="161">
        <f>'BİLGİ GİRİŞİ'!C17</f>
        <v>0</v>
      </c>
      <c r="D19" s="161"/>
      <c r="E19" s="161"/>
      <c r="F19" s="161">
        <f t="shared" si="2"/>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x14ac:dyDescent="0.2">
      <c r="B20" s="1"/>
      <c r="U20" s="177"/>
    </row>
    <row r="21" spans="1:38" x14ac:dyDescent="0.2">
      <c r="B21" s="665" t="s">
        <v>323</v>
      </c>
      <c r="C21" s="665"/>
      <c r="D21" s="665"/>
      <c r="E21" s="665"/>
      <c r="F21" s="665"/>
      <c r="G21" s="665"/>
      <c r="H21" s="665"/>
      <c r="I21" s="665"/>
      <c r="J21" s="665"/>
      <c r="K21" s="665"/>
      <c r="L21" s="665"/>
      <c r="M21" s="665"/>
      <c r="N21" s="665"/>
      <c r="O21" s="665"/>
      <c r="P21" s="665"/>
      <c r="Q21" s="665"/>
      <c r="R21" s="665"/>
      <c r="S21" s="665"/>
      <c r="T21" s="665"/>
      <c r="U21" s="665"/>
      <c r="V21" s="665"/>
      <c r="W21" s="665"/>
      <c r="X21" s="665"/>
      <c r="Y21" s="665"/>
      <c r="Z21" s="665"/>
      <c r="AA21" s="665"/>
      <c r="AB21" s="665"/>
      <c r="AC21" s="665"/>
    </row>
    <row r="22" spans="1:38" ht="2.25" customHeight="1" x14ac:dyDescent="0.2">
      <c r="B22" s="665"/>
      <c r="C22" s="666"/>
      <c r="D22" s="666"/>
      <c r="E22" s="666"/>
      <c r="F22" s="666"/>
      <c r="G22" s="666"/>
      <c r="H22" s="666"/>
      <c r="I22" s="666"/>
      <c r="J22" s="666"/>
      <c r="K22" s="666"/>
      <c r="L22" s="666"/>
      <c r="M22" s="666"/>
      <c r="N22" s="666"/>
      <c r="O22" s="666"/>
      <c r="P22" s="666"/>
      <c r="Q22" s="666"/>
      <c r="R22" s="666"/>
      <c r="S22" s="666"/>
      <c r="T22" s="666"/>
      <c r="U22" s="666"/>
      <c r="V22" s="666"/>
      <c r="W22" s="666"/>
      <c r="X22" s="666"/>
      <c r="Y22" s="666"/>
      <c r="Z22" s="666"/>
      <c r="AA22" s="666"/>
      <c r="AB22" s="666"/>
      <c r="AC22" s="666"/>
      <c r="AD22" s="666"/>
      <c r="AE22" s="666"/>
    </row>
    <row r="23" spans="1:38" x14ac:dyDescent="0.2">
      <c r="B23" s="1" t="s">
        <v>318</v>
      </c>
      <c r="M23" s="1"/>
    </row>
    <row r="26" spans="1:38" x14ac:dyDescent="0.2">
      <c r="B26" s="664" t="str">
        <f>BORDRO!B65</f>
        <v>ADEM KOCABAY</v>
      </c>
      <c r="C26" s="664"/>
      <c r="D26" s="229"/>
      <c r="E26" s="199"/>
      <c r="Y26" s="662" t="s">
        <v>264</v>
      </c>
      <c r="Z26" s="663"/>
      <c r="AA26" s="663"/>
      <c r="AB26" s="663"/>
      <c r="AC26" s="663"/>
      <c r="AD26" s="663"/>
      <c r="AE26" s="663"/>
    </row>
    <row r="27" spans="1:38" x14ac:dyDescent="0.2">
      <c r="B27" s="664" t="str">
        <f>BORDRO!B66</f>
        <v>MÜDÜR YARDIMCISI</v>
      </c>
      <c r="C27" s="664"/>
      <c r="D27" s="229"/>
      <c r="E27" s="199"/>
      <c r="Y27" s="663" t="str">
        <f>BORDRO!R66</f>
        <v>OKUL MÜDÜRÜ</v>
      </c>
      <c r="Z27" s="663"/>
      <c r="AA27" s="663"/>
      <c r="AB27" s="663"/>
      <c r="AC27" s="663"/>
      <c r="AD27" s="663"/>
      <c r="AE27" s="663"/>
    </row>
  </sheetData>
  <mergeCells count="8">
    <mergeCell ref="A1:AK1"/>
    <mergeCell ref="AI2:AK2"/>
    <mergeCell ref="Y26:AE26"/>
    <mergeCell ref="Y27:AE27"/>
    <mergeCell ref="B27:C27"/>
    <mergeCell ref="B26:C26"/>
    <mergeCell ref="B22:AE22"/>
    <mergeCell ref="B21:AC21"/>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2022-01-26T11:04:02Z</cp:lastPrinted>
  <dcterms:created xsi:type="dcterms:W3CDTF">2001-10-19T12:28:28Z</dcterms:created>
  <dcterms:modified xsi:type="dcterms:W3CDTF">2022-04-27T13:51:29Z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