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850" windowWidth="20730" windowHeight="5775" tabRatio="830" activeTab="1"/>
  </bookViews>
  <sheets>
    <sheet name="AÇIKLAMALAR" sheetId="15" r:id="rId1"/>
    <sheet name="KİŞİ BİLGİ" sheetId="1" r:id="rId2"/>
    <sheet name="NAKİT" sheetId="5" r:id="rId3"/>
    <sheet name="BORDRO" sheetId="3" r:id="rId4"/>
    <sheet name="SSK KESİNTİ" sheetId="14" r:id="rId5"/>
    <sheet name="A.G.İ." sheetId="7" r:id="rId6"/>
    <sheet name="BANKA LİSTESİ" sheetId="6" r:id="rId7"/>
    <sheet name="İCRA" sheetId="10" r:id="rId8"/>
    <sheet name="A.G.İ.TABLO" sheetId="13" r:id="rId9"/>
  </sheets>
  <definedNames>
    <definedName name="_xlnm._FilterDatabase" localSheetId="1" hidden="1">'KİŞİ BİLGİ'!$A$13:$L$33</definedName>
    <definedName name="_xlnm.Print_Area" localSheetId="3">BORDRO!$A$1:$AA$26</definedName>
    <definedName name="_xlnm.Print_Area" localSheetId="1">'KİŞİ BİLGİ'!$A$1:$L$33</definedName>
    <definedName name="_xlnm.Print_Area" localSheetId="2">NAKİT!$A$1:$S$59</definedName>
  </definedNames>
  <calcPr calcId="145621"/>
</workbook>
</file>

<file path=xl/calcChain.xml><?xml version="1.0" encoding="utf-8"?>
<calcChain xmlns="http://schemas.openxmlformats.org/spreadsheetml/2006/main">
  <c r="B8" i="3" l="1"/>
  <c r="C8" i="3"/>
  <c r="D8" i="3"/>
  <c r="E8" i="3"/>
  <c r="G8" i="3"/>
  <c r="F8" i="3" s="1"/>
  <c r="H8" i="3"/>
  <c r="B9" i="3"/>
  <c r="C9" i="3"/>
  <c r="D9" i="3"/>
  <c r="E9" i="3"/>
  <c r="G9" i="3"/>
  <c r="F9" i="3" s="1"/>
  <c r="H9" i="3"/>
  <c r="B10" i="3"/>
  <c r="C16" i="14" s="1"/>
  <c r="C10" i="3"/>
  <c r="D10" i="3"/>
  <c r="E10" i="3"/>
  <c r="G10" i="3"/>
  <c r="F10" i="3" s="1"/>
  <c r="H10" i="3"/>
  <c r="B11" i="3"/>
  <c r="C11" i="3"/>
  <c r="D11" i="3"/>
  <c r="E11" i="3"/>
  <c r="G11" i="3"/>
  <c r="F11" i="3" s="1"/>
  <c r="H11" i="3"/>
  <c r="B12" i="3"/>
  <c r="C12" i="3"/>
  <c r="D12" i="3"/>
  <c r="E12" i="3"/>
  <c r="G12" i="3"/>
  <c r="F12" i="3" s="1"/>
  <c r="H12" i="3"/>
  <c r="B13" i="3"/>
  <c r="C19" i="14" s="1"/>
  <c r="C13" i="3"/>
  <c r="D19" i="14" s="1"/>
  <c r="D13" i="3"/>
  <c r="E13" i="3"/>
  <c r="G13" i="3"/>
  <c r="F13" i="3" s="1"/>
  <c r="H13" i="3"/>
  <c r="B14" i="3"/>
  <c r="C14" i="3"/>
  <c r="D20" i="14" s="1"/>
  <c r="D14" i="3"/>
  <c r="E14" i="3"/>
  <c r="G14" i="3"/>
  <c r="F14" i="3" s="1"/>
  <c r="H14" i="3"/>
  <c r="B15" i="3"/>
  <c r="C15" i="3"/>
  <c r="D15" i="3"/>
  <c r="E15" i="3"/>
  <c r="G15" i="3"/>
  <c r="F15" i="3" s="1"/>
  <c r="H15" i="3"/>
  <c r="B16" i="3"/>
  <c r="C22" i="14" s="1"/>
  <c r="C16" i="3"/>
  <c r="D22" i="14" s="1"/>
  <c r="D16" i="3"/>
  <c r="E16" i="3"/>
  <c r="G16" i="3"/>
  <c r="H16" i="3"/>
  <c r="B17" i="3"/>
  <c r="C17" i="3"/>
  <c r="D23" i="14" s="1"/>
  <c r="D17" i="3"/>
  <c r="E17" i="3"/>
  <c r="G17" i="3"/>
  <c r="F17" i="3" s="1"/>
  <c r="H17" i="3"/>
  <c r="B18" i="3"/>
  <c r="C24" i="14" s="1"/>
  <c r="C18" i="3"/>
  <c r="D24" i="14" s="1"/>
  <c r="D18" i="3"/>
  <c r="E18" i="3"/>
  <c r="G18" i="3"/>
  <c r="F18" i="3" s="1"/>
  <c r="H18" i="3"/>
  <c r="B19" i="3"/>
  <c r="C19" i="3"/>
  <c r="D25" i="14" s="1"/>
  <c r="D19" i="3"/>
  <c r="E19" i="3"/>
  <c r="G19" i="3"/>
  <c r="F19" i="3" s="1"/>
  <c r="H19" i="3"/>
  <c r="B20" i="3"/>
  <c r="C20" i="3"/>
  <c r="D26" i="14" s="1"/>
  <c r="D20" i="3"/>
  <c r="E20" i="3"/>
  <c r="G20" i="3"/>
  <c r="F20" i="3" s="1"/>
  <c r="H20" i="3"/>
  <c r="B21" i="3"/>
  <c r="C27" i="14" s="1"/>
  <c r="C21" i="3"/>
  <c r="D27" i="14" s="1"/>
  <c r="D21" i="3"/>
  <c r="E21" i="3"/>
  <c r="G21" i="3"/>
  <c r="F21" i="3" s="1"/>
  <c r="H21" i="3"/>
  <c r="B22" i="3"/>
  <c r="C22" i="3"/>
  <c r="D28" i="14" s="1"/>
  <c r="D22" i="3"/>
  <c r="E22" i="3"/>
  <c r="G22" i="3"/>
  <c r="F22" i="3" s="1"/>
  <c r="H22" i="3"/>
  <c r="B23" i="3"/>
  <c r="C29" i="14" s="1"/>
  <c r="C23" i="3"/>
  <c r="D29" i="14" s="1"/>
  <c r="D23" i="3"/>
  <c r="E23" i="3"/>
  <c r="G23" i="3"/>
  <c r="H23" i="3"/>
  <c r="B24" i="3"/>
  <c r="C24" i="3"/>
  <c r="D30" i="14" s="1"/>
  <c r="D24" i="3"/>
  <c r="E24" i="3"/>
  <c r="G24" i="3"/>
  <c r="H24" i="3"/>
  <c r="B25" i="3"/>
  <c r="C25" i="3"/>
  <c r="D31" i="14" s="1"/>
  <c r="D25" i="3"/>
  <c r="E25" i="3"/>
  <c r="G25" i="3"/>
  <c r="F25" i="3" s="1"/>
  <c r="H25" i="3"/>
  <c r="B6" i="3"/>
  <c r="G7" i="3"/>
  <c r="F7" i="3" s="1"/>
  <c r="H7" i="3"/>
  <c r="H6" i="3"/>
  <c r="G6" i="3"/>
  <c r="F6" i="3" s="1"/>
  <c r="B7" i="3"/>
  <c r="C13" i="14" s="1"/>
  <c r="C7" i="3"/>
  <c r="D13" i="14" s="1"/>
  <c r="D7" i="3"/>
  <c r="E7" i="3"/>
  <c r="C14" i="14"/>
  <c r="D14" i="14"/>
  <c r="C15" i="14"/>
  <c r="D15" i="14"/>
  <c r="D16" i="14"/>
  <c r="C17" i="14"/>
  <c r="D17" i="14"/>
  <c r="C18" i="14"/>
  <c r="D18" i="14"/>
  <c r="C20" i="14"/>
  <c r="C21" i="14"/>
  <c r="D21" i="14"/>
  <c r="C23" i="14"/>
  <c r="C25" i="14"/>
  <c r="C26" i="14"/>
  <c r="C28" i="14"/>
  <c r="C30" i="14"/>
  <c r="C31" i="14"/>
  <c r="F24" i="3" l="1"/>
  <c r="F23" i="3"/>
  <c r="F16" i="3"/>
  <c r="Y26" i="3"/>
  <c r="D3" i="6" l="1"/>
  <c r="D2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6" i="6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E13" i="7" s="1"/>
  <c r="S11" i="3" s="1"/>
  <c r="B14" i="7"/>
  <c r="C14" i="7"/>
  <c r="D14" i="7"/>
  <c r="E14" i="7" s="1"/>
  <c r="S12" i="3" s="1"/>
  <c r="B15" i="7"/>
  <c r="C15" i="7"/>
  <c r="D15" i="7"/>
  <c r="E15" i="7" s="1"/>
  <c r="S13" i="3" s="1"/>
  <c r="B16" i="7"/>
  <c r="C16" i="7"/>
  <c r="D16" i="7"/>
  <c r="E16" i="7" s="1"/>
  <c r="S14" i="3" s="1"/>
  <c r="B17" i="7"/>
  <c r="C17" i="7"/>
  <c r="D17" i="7"/>
  <c r="E17" i="7"/>
  <c r="S15" i="3" s="1"/>
  <c r="B18" i="7"/>
  <c r="C18" i="7"/>
  <c r="D18" i="7"/>
  <c r="E18" i="7" s="1"/>
  <c r="S16" i="3" s="1"/>
  <c r="B19" i="7"/>
  <c r="C19" i="7"/>
  <c r="D19" i="7"/>
  <c r="E19" i="7" s="1"/>
  <c r="S17" i="3" s="1"/>
  <c r="B20" i="7"/>
  <c r="C20" i="7"/>
  <c r="D20" i="7"/>
  <c r="E20" i="7" s="1"/>
  <c r="S18" i="3" s="1"/>
  <c r="B21" i="7"/>
  <c r="C21" i="7"/>
  <c r="D21" i="7"/>
  <c r="E21" i="7" s="1"/>
  <c r="S19" i="3" s="1"/>
  <c r="B22" i="7"/>
  <c r="C22" i="7"/>
  <c r="D22" i="7"/>
  <c r="E22" i="7" s="1"/>
  <c r="S20" i="3" s="1"/>
  <c r="B23" i="7"/>
  <c r="C23" i="7"/>
  <c r="D23" i="7"/>
  <c r="E23" i="7" s="1"/>
  <c r="S21" i="3" s="1"/>
  <c r="B24" i="7"/>
  <c r="C24" i="7"/>
  <c r="D24" i="7"/>
  <c r="E24" i="7" s="1"/>
  <c r="S22" i="3" s="1"/>
  <c r="B25" i="7"/>
  <c r="C25" i="7"/>
  <c r="D25" i="7"/>
  <c r="E25" i="7" s="1"/>
  <c r="S23" i="3" s="1"/>
  <c r="B26" i="7"/>
  <c r="C26" i="7"/>
  <c r="D26" i="7"/>
  <c r="E26" i="7" s="1"/>
  <c r="S24" i="3" s="1"/>
  <c r="B27" i="7"/>
  <c r="C27" i="7"/>
  <c r="D27" i="7"/>
  <c r="E27" i="7" s="1"/>
  <c r="S25" i="3" s="1"/>
  <c r="B8" i="7"/>
  <c r="C8" i="7"/>
  <c r="B7" i="6"/>
  <c r="C7" i="6"/>
  <c r="D7" i="6"/>
  <c r="F7" i="6"/>
  <c r="B8" i="6"/>
  <c r="C8" i="6"/>
  <c r="D8" i="6"/>
  <c r="F8" i="6"/>
  <c r="B9" i="6"/>
  <c r="C9" i="6"/>
  <c r="D9" i="6"/>
  <c r="F9" i="6"/>
  <c r="B10" i="6"/>
  <c r="C10" i="6"/>
  <c r="D10" i="6"/>
  <c r="F10" i="6"/>
  <c r="B11" i="6"/>
  <c r="C11" i="6"/>
  <c r="D11" i="6"/>
  <c r="F11" i="6"/>
  <c r="B12" i="6"/>
  <c r="C12" i="6"/>
  <c r="D12" i="6"/>
  <c r="F12" i="6"/>
  <c r="B13" i="6"/>
  <c r="C13" i="6"/>
  <c r="D13" i="6"/>
  <c r="F13" i="6"/>
  <c r="B14" i="6"/>
  <c r="C14" i="6"/>
  <c r="D14" i="6"/>
  <c r="F14" i="6"/>
  <c r="B15" i="6"/>
  <c r="C15" i="6"/>
  <c r="D15" i="6"/>
  <c r="F15" i="6"/>
  <c r="B16" i="6"/>
  <c r="C16" i="6"/>
  <c r="D16" i="6"/>
  <c r="F16" i="6"/>
  <c r="B17" i="6"/>
  <c r="C17" i="6"/>
  <c r="D17" i="6"/>
  <c r="F17" i="6"/>
  <c r="B18" i="6"/>
  <c r="C18" i="6"/>
  <c r="D18" i="6"/>
  <c r="F18" i="6"/>
  <c r="B19" i="6"/>
  <c r="C19" i="6"/>
  <c r="D19" i="6"/>
  <c r="F19" i="6"/>
  <c r="B20" i="6"/>
  <c r="C20" i="6"/>
  <c r="D20" i="6"/>
  <c r="F20" i="6"/>
  <c r="B21" i="6"/>
  <c r="C21" i="6"/>
  <c r="D21" i="6"/>
  <c r="F21" i="6"/>
  <c r="B22" i="6"/>
  <c r="C22" i="6"/>
  <c r="D22" i="6"/>
  <c r="F22" i="6"/>
  <c r="B23" i="6"/>
  <c r="C23" i="6"/>
  <c r="D23" i="6"/>
  <c r="F23" i="6"/>
  <c r="B24" i="6"/>
  <c r="C24" i="6"/>
  <c r="D24" i="6"/>
  <c r="F24" i="6"/>
  <c r="B25" i="6"/>
  <c r="C25" i="6"/>
  <c r="D25" i="6"/>
  <c r="F25" i="6"/>
  <c r="F6" i="6"/>
  <c r="D6" i="6"/>
  <c r="C6" i="6"/>
  <c r="B6" i="6"/>
  <c r="A7" i="3"/>
  <c r="B13" i="14" s="1"/>
  <c r="A8" i="3"/>
  <c r="B14" i="14" s="1"/>
  <c r="A9" i="3"/>
  <c r="B15" i="14" s="1"/>
  <c r="A10" i="3"/>
  <c r="B16" i="14" s="1"/>
  <c r="A11" i="3"/>
  <c r="B17" i="14" s="1"/>
  <c r="A12" i="3"/>
  <c r="B18" i="14" s="1"/>
  <c r="A13" i="3"/>
  <c r="B19" i="14" s="1"/>
  <c r="A14" i="3"/>
  <c r="B20" i="14" s="1"/>
  <c r="A15" i="3"/>
  <c r="B21" i="14" s="1"/>
  <c r="A16" i="3"/>
  <c r="B22" i="14" s="1"/>
  <c r="A17" i="3"/>
  <c r="B23" i="14" s="1"/>
  <c r="A18" i="3"/>
  <c r="B24" i="14" s="1"/>
  <c r="A19" i="3"/>
  <c r="B25" i="14" s="1"/>
  <c r="A20" i="3"/>
  <c r="B26" i="14" s="1"/>
  <c r="A21" i="3"/>
  <c r="B27" i="14" s="1"/>
  <c r="A22" i="3"/>
  <c r="B28" i="14" s="1"/>
  <c r="A23" i="3"/>
  <c r="B29" i="14" s="1"/>
  <c r="A24" i="3"/>
  <c r="B30" i="14" s="1"/>
  <c r="A25" i="3"/>
  <c r="B31" i="14" s="1"/>
  <c r="E6" i="3"/>
  <c r="D6" i="3"/>
  <c r="C6" i="3"/>
  <c r="D12" i="14" s="1"/>
  <c r="C12" i="14"/>
  <c r="A6" i="3"/>
  <c r="B12" i="14" s="1"/>
  <c r="D8" i="7"/>
  <c r="D3" i="10"/>
  <c r="I6" i="13"/>
  <c r="E12" i="13" s="1"/>
  <c r="C2" i="10"/>
  <c r="F5" i="7"/>
  <c r="D4" i="6"/>
  <c r="C8" i="14"/>
  <c r="F3" i="3"/>
  <c r="F3" i="7"/>
  <c r="F4" i="7" s="1"/>
  <c r="C2" i="3"/>
  <c r="C3" i="3" s="1"/>
  <c r="E2" i="7"/>
  <c r="H4" i="6"/>
  <c r="D9" i="14"/>
  <c r="AA2" i="3"/>
  <c r="C3" i="10"/>
  <c r="D2" i="7"/>
  <c r="H2" i="6"/>
  <c r="C9" i="14"/>
  <c r="Z2" i="3"/>
  <c r="X26" i="3"/>
  <c r="R58" i="5"/>
  <c r="I2" i="7"/>
  <c r="I3" i="7"/>
  <c r="I4" i="7"/>
  <c r="I5" i="7"/>
  <c r="I6" i="7"/>
  <c r="I7" i="7"/>
  <c r="I8" i="7"/>
  <c r="I9" i="7"/>
  <c r="I10" i="7"/>
  <c r="I11" i="7"/>
  <c r="I12" i="7"/>
  <c r="AB6" i="3"/>
  <c r="AB7" i="3"/>
  <c r="AB8" i="3"/>
  <c r="AB9" i="3"/>
  <c r="AB10" i="3"/>
  <c r="AB11" i="3"/>
  <c r="AB12" i="3"/>
  <c r="AB13" i="3"/>
  <c r="AB14" i="3"/>
  <c r="AB15" i="3"/>
  <c r="AB16" i="3"/>
  <c r="M6" i="5"/>
  <c r="S47" i="5" s="1"/>
  <c r="F7" i="13"/>
  <c r="O11" i="13" s="1"/>
  <c r="AC15" i="3" s="1"/>
  <c r="I15" i="3" l="1"/>
  <c r="I11" i="3"/>
  <c r="I9" i="3"/>
  <c r="I10" i="3"/>
  <c r="I14" i="3"/>
  <c r="I19" i="3"/>
  <c r="I8" i="3"/>
  <c r="I20" i="3"/>
  <c r="I7" i="3"/>
  <c r="I6" i="3"/>
  <c r="I18" i="3"/>
  <c r="I12" i="3"/>
  <c r="I17" i="3"/>
  <c r="I23" i="3"/>
  <c r="I25" i="3"/>
  <c r="I24" i="3"/>
  <c r="I21" i="3"/>
  <c r="I13" i="3"/>
  <c r="I16" i="3"/>
  <c r="I22" i="3"/>
  <c r="E6" i="13"/>
  <c r="O6" i="13" s="1"/>
  <c r="AC10" i="3" s="1"/>
  <c r="E14" i="13"/>
  <c r="D4" i="13"/>
  <c r="O2" i="13" s="1"/>
  <c r="AC6" i="3" s="1"/>
  <c r="E5" i="13"/>
  <c r="O5" i="13" s="1"/>
  <c r="J11" i="7"/>
  <c r="F14" i="13"/>
  <c r="F5" i="13"/>
  <c r="O9" i="13" s="1"/>
  <c r="F6" i="13"/>
  <c r="O10" i="13" s="1"/>
  <c r="E4" i="13"/>
  <c r="O4" i="13" s="1"/>
  <c r="F4" i="13"/>
  <c r="O3" i="13" s="1"/>
  <c r="E9" i="13"/>
  <c r="F13" i="13"/>
  <c r="E13" i="13"/>
  <c r="F10" i="13"/>
  <c r="G26" i="3"/>
  <c r="E10" i="13"/>
  <c r="E11" i="13"/>
  <c r="F8" i="13"/>
  <c r="O12" i="13" s="1"/>
  <c r="F12" i="13"/>
  <c r="E8" i="13"/>
  <c r="O8" i="13" s="1"/>
  <c r="F9" i="13"/>
  <c r="O13" i="13" s="1"/>
  <c r="F11" i="13"/>
  <c r="E7" i="13"/>
  <c r="O7" i="13" s="1"/>
  <c r="M23" i="3" l="1"/>
  <c r="L23" i="3"/>
  <c r="N23" i="3"/>
  <c r="J23" i="3"/>
  <c r="O23" i="3"/>
  <c r="W23" i="3"/>
  <c r="J19" i="3"/>
  <c r="E25" i="14" s="1"/>
  <c r="W19" i="3"/>
  <c r="N19" i="3"/>
  <c r="L19" i="3"/>
  <c r="O19" i="3"/>
  <c r="M19" i="3"/>
  <c r="K19" i="3"/>
  <c r="M17" i="3"/>
  <c r="N17" i="3"/>
  <c r="J17" i="3"/>
  <c r="E23" i="14" s="1"/>
  <c r="W17" i="3"/>
  <c r="O17" i="3"/>
  <c r="L17" i="3"/>
  <c r="J14" i="3"/>
  <c r="M14" i="3"/>
  <c r="O14" i="3"/>
  <c r="W14" i="3"/>
  <c r="N14" i="3"/>
  <c r="L14" i="3"/>
  <c r="J6" i="7"/>
  <c r="L22" i="3"/>
  <c r="N22" i="3"/>
  <c r="K22" i="3"/>
  <c r="M22" i="3"/>
  <c r="W22" i="3"/>
  <c r="O22" i="3"/>
  <c r="J22" i="3"/>
  <c r="E28" i="14" s="1"/>
  <c r="J12" i="3"/>
  <c r="M12" i="3"/>
  <c r="O12" i="3"/>
  <c r="W12" i="3"/>
  <c r="L12" i="3"/>
  <c r="N12" i="3"/>
  <c r="J10" i="3"/>
  <c r="N10" i="3"/>
  <c r="M10" i="3"/>
  <c r="W10" i="3"/>
  <c r="L10" i="3"/>
  <c r="O10" i="3"/>
  <c r="O16" i="3"/>
  <c r="N16" i="3"/>
  <c r="W16" i="3"/>
  <c r="J16" i="3"/>
  <c r="L16" i="3"/>
  <c r="M16" i="3"/>
  <c r="J13" i="3"/>
  <c r="W13" i="3"/>
  <c r="M13" i="3"/>
  <c r="O13" i="3"/>
  <c r="L13" i="3"/>
  <c r="N13" i="3"/>
  <c r="N6" i="3"/>
  <c r="O6" i="3"/>
  <c r="J11" i="3"/>
  <c r="O11" i="3"/>
  <c r="W11" i="3"/>
  <c r="M11" i="3"/>
  <c r="N11" i="3"/>
  <c r="L11" i="3"/>
  <c r="M21" i="3"/>
  <c r="W21" i="3"/>
  <c r="J21" i="3"/>
  <c r="N21" i="3"/>
  <c r="L21" i="3"/>
  <c r="O21" i="3"/>
  <c r="J7" i="3"/>
  <c r="E13" i="14" s="1"/>
  <c r="W7" i="3"/>
  <c r="N7" i="3"/>
  <c r="M7" i="3"/>
  <c r="L7" i="3"/>
  <c r="K7" i="3"/>
  <c r="O7" i="3"/>
  <c r="J15" i="3"/>
  <c r="M15" i="3"/>
  <c r="W15" i="3"/>
  <c r="O15" i="3"/>
  <c r="L15" i="3"/>
  <c r="N15" i="3"/>
  <c r="J18" i="3"/>
  <c r="W18" i="3"/>
  <c r="O18" i="3"/>
  <c r="M18" i="3"/>
  <c r="N18" i="3"/>
  <c r="L18" i="3"/>
  <c r="L24" i="3"/>
  <c r="M24" i="3"/>
  <c r="N24" i="3"/>
  <c r="O24" i="3"/>
  <c r="K24" i="3"/>
  <c r="W24" i="3"/>
  <c r="J24" i="3"/>
  <c r="E30" i="14" s="1"/>
  <c r="W20" i="3"/>
  <c r="J20" i="3"/>
  <c r="E26" i="14" s="1"/>
  <c r="M20" i="3"/>
  <c r="L20" i="3"/>
  <c r="N20" i="3"/>
  <c r="O20" i="3"/>
  <c r="J9" i="3"/>
  <c r="W9" i="3"/>
  <c r="O9" i="3"/>
  <c r="N9" i="3"/>
  <c r="M9" i="3"/>
  <c r="L9" i="3"/>
  <c r="O25" i="3"/>
  <c r="J25" i="3"/>
  <c r="E31" i="14" s="1"/>
  <c r="L25" i="3"/>
  <c r="N25" i="3"/>
  <c r="K25" i="3"/>
  <c r="W25" i="3"/>
  <c r="M25" i="3"/>
  <c r="J8" i="3"/>
  <c r="M8" i="3"/>
  <c r="O8" i="3"/>
  <c r="W8" i="3"/>
  <c r="L8" i="3"/>
  <c r="N8" i="3"/>
  <c r="W6" i="3"/>
  <c r="J6" i="3"/>
  <c r="E12" i="14" s="1"/>
  <c r="M6" i="3"/>
  <c r="L6" i="3"/>
  <c r="O26" i="3"/>
  <c r="R27" i="5" s="1"/>
  <c r="J2" i="7"/>
  <c r="AC9" i="3"/>
  <c r="J5" i="7"/>
  <c r="J8" i="7"/>
  <c r="AC12" i="3"/>
  <c r="J12" i="7"/>
  <c r="AC16" i="3"/>
  <c r="J4" i="7"/>
  <c r="AC8" i="3"/>
  <c r="J9" i="7"/>
  <c r="E12" i="7" s="1"/>
  <c r="S10" i="3" s="1"/>
  <c r="AC13" i="3"/>
  <c r="AC11" i="3"/>
  <c r="J7" i="7"/>
  <c r="J3" i="7"/>
  <c r="E10" i="7" s="1"/>
  <c r="S8" i="3" s="1"/>
  <c r="AC7" i="3"/>
  <c r="J10" i="7"/>
  <c r="E11" i="7" s="1"/>
  <c r="S9" i="3" s="1"/>
  <c r="AC14" i="3"/>
  <c r="F26" i="3"/>
  <c r="I26" i="3"/>
  <c r="Q15" i="5" s="1"/>
  <c r="N26" i="3" l="1"/>
  <c r="R25" i="5" s="1"/>
  <c r="K20" i="3"/>
  <c r="K8" i="3"/>
  <c r="E14" i="14"/>
  <c r="P9" i="3"/>
  <c r="F15" i="14" s="1"/>
  <c r="G15" i="14" s="1"/>
  <c r="Q9" i="3"/>
  <c r="R9" i="3"/>
  <c r="U9" i="3" s="1"/>
  <c r="T9" i="3" s="1"/>
  <c r="P21" i="3"/>
  <c r="Q21" i="3"/>
  <c r="Q12" i="3"/>
  <c r="P12" i="3"/>
  <c r="Q20" i="3"/>
  <c r="P20" i="3"/>
  <c r="F26" i="14" s="1"/>
  <c r="G26" i="14" s="1"/>
  <c r="K18" i="3"/>
  <c r="E24" i="14"/>
  <c r="P22" i="3"/>
  <c r="F28" i="14" s="1"/>
  <c r="G28" i="14" s="1"/>
  <c r="Q22" i="3"/>
  <c r="K23" i="3"/>
  <c r="E29" i="14"/>
  <c r="E9" i="7"/>
  <c r="S7" i="3" s="1"/>
  <c r="P8" i="3"/>
  <c r="F14" i="14" s="1"/>
  <c r="G14" i="14" s="1"/>
  <c r="Q8" i="3"/>
  <c r="Q18" i="3"/>
  <c r="P18" i="3"/>
  <c r="F24" i="14" s="1"/>
  <c r="R18" i="3"/>
  <c r="U18" i="3" s="1"/>
  <c r="P16" i="3"/>
  <c r="Q16" i="3"/>
  <c r="K12" i="3"/>
  <c r="E18" i="14"/>
  <c r="Q17" i="3"/>
  <c r="P17" i="3"/>
  <c r="M26" i="3"/>
  <c r="R26" i="5" s="1"/>
  <c r="P7" i="3"/>
  <c r="F13" i="14" s="1"/>
  <c r="G13" i="14" s="1"/>
  <c r="Q7" i="3"/>
  <c r="R7" i="3" s="1"/>
  <c r="U7" i="3" s="1"/>
  <c r="K11" i="3"/>
  <c r="E17" i="14"/>
  <c r="K13" i="3"/>
  <c r="E19" i="14"/>
  <c r="Q10" i="3"/>
  <c r="P10" i="3"/>
  <c r="F16" i="14" s="1"/>
  <c r="G16" i="14" s="1"/>
  <c r="R10" i="3"/>
  <c r="U10" i="3" s="1"/>
  <c r="T10" i="3" s="1"/>
  <c r="K14" i="3"/>
  <c r="E20" i="14"/>
  <c r="P15" i="3"/>
  <c r="F21" i="14" s="1"/>
  <c r="Q15" i="3"/>
  <c r="K17" i="3"/>
  <c r="P25" i="3"/>
  <c r="F31" i="14" s="1"/>
  <c r="G31" i="14" s="1"/>
  <c r="Q25" i="3"/>
  <c r="R25" i="3"/>
  <c r="U25" i="3" s="1"/>
  <c r="K9" i="3"/>
  <c r="E15" i="14"/>
  <c r="Q11" i="3"/>
  <c r="P11" i="3"/>
  <c r="F17" i="14" s="1"/>
  <c r="R11" i="3"/>
  <c r="U11" i="3" s="1"/>
  <c r="T11" i="3" s="1"/>
  <c r="V11" i="3" s="1"/>
  <c r="Z11" i="3" s="1"/>
  <c r="K16" i="3"/>
  <c r="E22" i="14"/>
  <c r="Q14" i="3"/>
  <c r="P14" i="3"/>
  <c r="P19" i="3"/>
  <c r="F25" i="14" s="1"/>
  <c r="G25" i="14" s="1"/>
  <c r="Q19" i="3"/>
  <c r="P23" i="3"/>
  <c r="F29" i="14" s="1"/>
  <c r="Q23" i="3"/>
  <c r="R23" i="3" s="1"/>
  <c r="U23" i="3" s="1"/>
  <c r="T23" i="3" s="1"/>
  <c r="V23" i="3" s="1"/>
  <c r="Z23" i="3" s="1"/>
  <c r="AA23" i="3" s="1"/>
  <c r="K15" i="3"/>
  <c r="E21" i="14"/>
  <c r="G21" i="14" s="1"/>
  <c r="K21" i="3"/>
  <c r="E27" i="14"/>
  <c r="Q24" i="3"/>
  <c r="P24" i="3"/>
  <c r="F30" i="14" s="1"/>
  <c r="G30" i="14" s="1"/>
  <c r="R24" i="3"/>
  <c r="U24" i="3" s="1"/>
  <c r="E8" i="7"/>
  <c r="S6" i="3" s="1"/>
  <c r="S26" i="3" s="1"/>
  <c r="Q13" i="3"/>
  <c r="P13" i="3"/>
  <c r="F19" i="14" s="1"/>
  <c r="G19" i="14" s="1"/>
  <c r="R13" i="3"/>
  <c r="U13" i="3" s="1"/>
  <c r="K10" i="3"/>
  <c r="E16" i="14"/>
  <c r="P6" i="3"/>
  <c r="Q6" i="3"/>
  <c r="W26" i="3"/>
  <c r="R22" i="5" s="1"/>
  <c r="K6" i="3"/>
  <c r="F13" i="7"/>
  <c r="G8" i="14"/>
  <c r="R54" i="5"/>
  <c r="J26" i="3"/>
  <c r="Q16" i="5" s="1"/>
  <c r="L26" i="3"/>
  <c r="V9" i="3" l="1"/>
  <c r="Z9" i="3" s="1"/>
  <c r="AA9" i="3" s="1"/>
  <c r="F11" i="7"/>
  <c r="V10" i="3"/>
  <c r="Z10" i="3" s="1"/>
  <c r="AA10" i="3" s="1"/>
  <c r="G10" i="6" s="1"/>
  <c r="H10" i="6" s="1"/>
  <c r="F12" i="7"/>
  <c r="R14" i="3"/>
  <c r="U14" i="3" s="1"/>
  <c r="T14" i="3" s="1"/>
  <c r="V14" i="3" s="1"/>
  <c r="Z14" i="3" s="1"/>
  <c r="AA14" i="3" s="1"/>
  <c r="G14" i="6" s="1"/>
  <c r="F20" i="14"/>
  <c r="G20" i="14" s="1"/>
  <c r="R21" i="3"/>
  <c r="U21" i="3" s="1"/>
  <c r="F27" i="14"/>
  <c r="G27" i="14" s="1"/>
  <c r="T25" i="3"/>
  <c r="F27" i="7" s="1"/>
  <c r="T24" i="3"/>
  <c r="F26" i="7" s="1"/>
  <c r="AA11" i="3"/>
  <c r="T7" i="3"/>
  <c r="V7" i="3" s="1"/>
  <c r="Z7" i="3" s="1"/>
  <c r="AA7" i="3" s="1"/>
  <c r="R16" i="3"/>
  <c r="U16" i="3" s="1"/>
  <c r="T16" i="3" s="1"/>
  <c r="F22" i="14"/>
  <c r="G22" i="14" s="1"/>
  <c r="G29" i="14"/>
  <c r="R12" i="3"/>
  <c r="U12" i="3" s="1"/>
  <c r="T12" i="3" s="1"/>
  <c r="V12" i="3" s="1"/>
  <c r="Z12" i="3" s="1"/>
  <c r="AA12" i="3" s="1"/>
  <c r="F18" i="14"/>
  <c r="G18" i="14" s="1"/>
  <c r="R17" i="3"/>
  <c r="U17" i="3" s="1"/>
  <c r="T17" i="3" s="1"/>
  <c r="V17" i="3" s="1"/>
  <c r="Z17" i="3" s="1"/>
  <c r="AA17" i="3" s="1"/>
  <c r="F23" i="14"/>
  <c r="G23" i="14" s="1"/>
  <c r="T18" i="3"/>
  <c r="F20" i="7" s="1"/>
  <c r="R20" i="3"/>
  <c r="U20" i="3" s="1"/>
  <c r="T13" i="3"/>
  <c r="V13" i="3" s="1"/>
  <c r="Z13" i="3" s="1"/>
  <c r="AA13" i="3" s="1"/>
  <c r="G17" i="14"/>
  <c r="G24" i="14"/>
  <c r="Q26" i="3"/>
  <c r="R28" i="5" s="1"/>
  <c r="R19" i="3"/>
  <c r="U19" i="3" s="1"/>
  <c r="R15" i="3"/>
  <c r="U15" i="3" s="1"/>
  <c r="R8" i="3"/>
  <c r="U8" i="3" s="1"/>
  <c r="T8" i="3" s="1"/>
  <c r="V8" i="3" s="1"/>
  <c r="Z8" i="3" s="1"/>
  <c r="AA8" i="3" s="1"/>
  <c r="R22" i="3"/>
  <c r="U22" i="3" s="1"/>
  <c r="F12" i="14"/>
  <c r="G12" i="14" s="1"/>
  <c r="R6" i="3"/>
  <c r="U6" i="3" s="1"/>
  <c r="T6" i="3" s="1"/>
  <c r="V6" i="3" s="1"/>
  <c r="Z6" i="3" s="1"/>
  <c r="P26" i="3"/>
  <c r="G9" i="6"/>
  <c r="H9" i="6" s="1"/>
  <c r="F25" i="7"/>
  <c r="E32" i="14"/>
  <c r="F15" i="7"/>
  <c r="R55" i="5"/>
  <c r="R57" i="5"/>
  <c r="R56" i="5"/>
  <c r="K26" i="3"/>
  <c r="F14" i="7" l="1"/>
  <c r="T19" i="3"/>
  <c r="V19" i="3" s="1"/>
  <c r="Z19" i="3" s="1"/>
  <c r="AA19" i="3" s="1"/>
  <c r="V18" i="3"/>
  <c r="Z18" i="3" s="1"/>
  <c r="AA18" i="3" s="1"/>
  <c r="T21" i="3"/>
  <c r="F23" i="7" s="1"/>
  <c r="F9" i="7"/>
  <c r="F16" i="7"/>
  <c r="V16" i="3"/>
  <c r="Z16" i="3" s="1"/>
  <c r="AA16" i="3" s="1"/>
  <c r="G16" i="6" s="1"/>
  <c r="H16" i="6" s="1"/>
  <c r="F18" i="7"/>
  <c r="V24" i="3"/>
  <c r="Z24" i="3" s="1"/>
  <c r="AA24" i="3" s="1"/>
  <c r="G24" i="6" s="1"/>
  <c r="H24" i="6" s="1"/>
  <c r="T22" i="3"/>
  <c r="F24" i="7" s="1"/>
  <c r="V25" i="3"/>
  <c r="Z25" i="3" s="1"/>
  <c r="AA25" i="3" s="1"/>
  <c r="T15" i="3"/>
  <c r="F17" i="7" s="1"/>
  <c r="V20" i="3"/>
  <c r="Z20" i="3" s="1"/>
  <c r="AA20" i="3" s="1"/>
  <c r="G20" i="6" s="1"/>
  <c r="H20" i="6" s="1"/>
  <c r="T20" i="3"/>
  <c r="F22" i="7" s="1"/>
  <c r="P28" i="3"/>
  <c r="R29" i="5"/>
  <c r="F32" i="14"/>
  <c r="G25" i="6"/>
  <c r="H25" i="6" s="1"/>
  <c r="G11" i="6"/>
  <c r="H11" i="6" s="1"/>
  <c r="F21" i="7"/>
  <c r="F19" i="7"/>
  <c r="G32" i="14"/>
  <c r="G9" i="14" s="1"/>
  <c r="R26" i="3"/>
  <c r="R59" i="5"/>
  <c r="F10" i="7"/>
  <c r="F8" i="7"/>
  <c r="U26" i="3"/>
  <c r="R21" i="5" s="1"/>
  <c r="V15" i="3" l="1"/>
  <c r="Z15" i="3" s="1"/>
  <c r="AA15" i="3" s="1"/>
  <c r="V22" i="3"/>
  <c r="Z22" i="3" s="1"/>
  <c r="AA22" i="3" s="1"/>
  <c r="V21" i="3"/>
  <c r="Z21" i="3" s="1"/>
  <c r="AA21" i="3" s="1"/>
  <c r="G21" i="6" s="1"/>
  <c r="H21" i="6" s="1"/>
  <c r="G22" i="6"/>
  <c r="H22" i="6" s="1"/>
  <c r="G18" i="6"/>
  <c r="H18" i="6" s="1"/>
  <c r="G23" i="6"/>
  <c r="H23" i="6" s="1"/>
  <c r="G13" i="6"/>
  <c r="H13" i="6" s="1"/>
  <c r="G17" i="6"/>
  <c r="H17" i="6" s="1"/>
  <c r="G15" i="6"/>
  <c r="H15" i="6" s="1"/>
  <c r="G7" i="6"/>
  <c r="H7" i="6" s="1"/>
  <c r="H14" i="6"/>
  <c r="G12" i="6"/>
  <c r="H12" i="6" s="1"/>
  <c r="T26" i="3"/>
  <c r="Q30" i="5" s="1"/>
  <c r="F28" i="7"/>
  <c r="L50" i="5"/>
  <c r="AA6" i="3"/>
  <c r="G19" i="6" l="1"/>
  <c r="H19" i="6" s="1"/>
  <c r="H50" i="5"/>
  <c r="U7" i="5"/>
  <c r="V26" i="3"/>
  <c r="G6" i="6"/>
  <c r="G8" i="6" l="1"/>
  <c r="H8" i="6" s="1"/>
  <c r="AA26" i="3"/>
  <c r="Z26" i="3"/>
  <c r="H6" i="6"/>
  <c r="V7" i="5" l="1"/>
  <c r="U8" i="5" s="1"/>
  <c r="U9" i="5" s="1"/>
  <c r="R33" i="5"/>
  <c r="R43" i="5" s="1"/>
  <c r="G26" i="6"/>
  <c r="H26" i="6"/>
  <c r="D50" i="5"/>
  <c r="O50" i="5" s="1"/>
  <c r="Q43" i="5"/>
  <c r="S43" i="5" l="1"/>
</calcChain>
</file>

<file path=xl/comments1.xml><?xml version="1.0" encoding="utf-8"?>
<comments xmlns="http://schemas.openxmlformats.org/spreadsheetml/2006/main">
  <authors>
    <author>Win7</author>
    <author>User</author>
  </authors>
  <commentList>
    <comment ref="C12" authorId="0">
      <text>
        <r>
          <rPr>
            <sz val="9"/>
            <color indexed="81"/>
            <rFont val="Tahoma"/>
            <family val="2"/>
            <charset val="162"/>
          </rPr>
          <t xml:space="preserve">OCAK AYI VE TEMMUZ AYINDAKİ KATSAYI GİRİLECEK
</t>
        </r>
      </text>
    </comment>
    <comment ref="H12" authorId="0">
      <text>
        <r>
          <rPr>
            <b/>
            <sz val="9"/>
            <color indexed="81"/>
            <rFont val="Tahoma"/>
            <family val="2"/>
            <charset val="162"/>
          </rPr>
          <t>SADECE OCAK AYINDA GÜNCELLENECEK</t>
        </r>
      </text>
    </comment>
    <comment ref="I12" authorId="0">
      <text>
        <r>
          <rPr>
            <b/>
            <sz val="9"/>
            <color indexed="81"/>
            <rFont val="Tahoma"/>
            <family val="2"/>
            <charset val="162"/>
          </rPr>
          <t>HESAPLANAN DÖNEMİ YAZINIZ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F13" authorId="1">
      <text>
        <r>
          <rPr>
            <sz val="9"/>
            <color indexed="81"/>
            <rFont val="Tahoma"/>
            <family val="2"/>
            <charset val="162"/>
          </rPr>
          <t xml:space="preserve">AGİ TABLODAKİ KIRMIZI KISIMDAKİ BİLGİLERE GÖRE BURAYA EL İLE YAZILACAK VE İLGİLİNİN VERDİĞİ AİLE DURUM BİLDİRİMİ DİKKATE ALINACAK
</t>
        </r>
      </text>
    </comment>
  </commentList>
</comments>
</file>

<file path=xl/comments2.xml><?xml version="1.0" encoding="utf-8"?>
<comments xmlns="http://schemas.openxmlformats.org/spreadsheetml/2006/main">
  <authors>
    <author>Win7</author>
    <author>User</author>
  </authors>
  <commentList>
    <comment ref="B6" authorId="0">
      <text>
        <r>
          <rPr>
            <sz val="9"/>
            <color indexed="81"/>
            <rFont val="Tahoma"/>
            <family val="2"/>
            <charset val="162"/>
          </rPr>
          <t xml:space="preserve">KURUMUN KBS'DEKİ BİRİM KODUNA GÖRE YAZILACAK. (BKNZ: AÇIKLAMALAR)
</t>
        </r>
      </text>
    </comment>
    <comment ref="S6" authorId="0">
      <text>
        <r>
          <rPr>
            <b/>
            <sz val="9"/>
            <color indexed="81"/>
            <rFont val="Tahoma"/>
            <family val="2"/>
            <charset val="162"/>
          </rPr>
          <t>BANKA ADINI YAZINIZ</t>
        </r>
      </text>
    </comment>
    <comment ref="S7" authorId="0">
      <text>
        <r>
          <rPr>
            <sz val="9"/>
            <color indexed="81"/>
            <rFont val="Tahoma"/>
            <family val="2"/>
            <charset val="162"/>
          </rPr>
          <t xml:space="preserve">KURUM IBANI YAZINIZ
</t>
        </r>
      </text>
    </comment>
    <comment ref="S21" authorId="1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GELİR VERGİSİ GİRİLİRKEN GELİR VERGİSİ KODU 12 SEÇİLİR</t>
        </r>
      </text>
    </comment>
    <comment ref="S22" authorId="1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DAMGA VERGİSİ MANUEL HESAPLAMA SECİLİP BORDRODAKİ DEĞER YAZILACAK VE DAMGAVERGİSİ KODU 1 SEÇİLİR</t>
        </r>
      </text>
    </comment>
    <comment ref="S23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BORDROYA YANISAYN İCRA TUTARLARININ </t>
        </r>
        <r>
          <rPr>
            <b/>
            <u/>
            <sz val="9"/>
            <color indexed="81"/>
            <rFont val="Tahoma"/>
            <family val="2"/>
            <charset val="162"/>
          </rPr>
          <t>TOPLAMI</t>
        </r>
        <r>
          <rPr>
            <b/>
            <sz val="9"/>
            <color indexed="81"/>
            <rFont val="Tahoma"/>
            <family val="2"/>
            <charset val="162"/>
          </rPr>
          <t xml:space="preserve"> BURAYA YAZILACAK</t>
        </r>
      </text>
    </comment>
    <comment ref="S24" authorId="0">
      <text>
        <r>
          <rPr>
            <b/>
            <sz val="9"/>
            <color indexed="81"/>
            <rFont val="Tahoma"/>
            <family val="2"/>
            <charset val="162"/>
          </rPr>
          <t>BORDROYA YANISAYN NAFAKA TUTARLARININ TOPLAMI BURAYA YAZILACAK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S25" authorId="1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bu alan girilirken sgk kurum sicil gir kısmına kurum sicil numarası secilir.</t>
        </r>
      </text>
    </comment>
    <comment ref="S26" authorId="1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bu alan girilirken sgk kurum sicil gir kısmına kurum sicil numarası secilir.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N28" author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sgk sisteminde bildirilen e-bildirge tahakkuk fişinde gösterilen ödenecek net tutar ile SGK Toplam arasında farklılık olması durumunda Bordro     L 29 numaralı hücreye fark eklenecekse +(fark)olarak , düşürülecekse -(fark) olarak girilir</t>
        </r>
      </text>
    </comment>
    <comment ref="N29" authorId="0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eklemek için +(eklenecek sayı)
çıkarmak için -(çıkarılacak sayı)şeklinde yazılmalıdır
</t>
        </r>
      </text>
    </comment>
  </commentList>
</comments>
</file>

<file path=xl/sharedStrings.xml><?xml version="1.0" encoding="utf-8"?>
<sst xmlns="http://schemas.openxmlformats.org/spreadsheetml/2006/main" count="295" uniqueCount="236">
  <si>
    <t>ADI SOYADI</t>
  </si>
  <si>
    <t>T.C. KİMLİK NO</t>
  </si>
  <si>
    <t>BRANŞI</t>
  </si>
  <si>
    <t>HESAP NO</t>
  </si>
  <si>
    <t>IBAN NO</t>
  </si>
  <si>
    <t>GÖREV YERİ</t>
  </si>
  <si>
    <t>SIRA
NO</t>
  </si>
  <si>
    <t>IBAN KODU</t>
  </si>
  <si>
    <t>T.C.KİMLİK NO</t>
  </si>
  <si>
    <t>GÜN</t>
  </si>
  <si>
    <t>PEK
TUTARI</t>
  </si>
  <si>
    <t>TAHAKKUK
TUTARI</t>
  </si>
  <si>
    <t>SSK
MATRAHI</t>
  </si>
  <si>
    <t>SSK KESİNTİ</t>
  </si>
  <si>
    <t>VERGİ
MATRAHI</t>
  </si>
  <si>
    <t>GELİR
VERGİSİ</t>
  </si>
  <si>
    <t>KESİNTİ
TOPLAMI</t>
  </si>
  <si>
    <t>NET ELE
GEÇEN</t>
  </si>
  <si>
    <t>KURUM ADI</t>
  </si>
  <si>
    <t>MAAŞ KATSAYISI</t>
  </si>
  <si>
    <t>GÜNLÜK BRÜT ÜCRET</t>
  </si>
  <si>
    <t>ÜCRETLİ ÖĞRETMEN MAAŞ BORDROSU</t>
  </si>
  <si>
    <t>SSK
DEV.KAT.</t>
  </si>
  <si>
    <t>TOPLAM</t>
  </si>
  <si>
    <t>BÜTÇE AYI / YILI</t>
  </si>
  <si>
    <t>HESAP
NO</t>
  </si>
  <si>
    <t>KURUMSAL
KOD</t>
  </si>
  <si>
    <t>FONKSİYONEL
KOD</t>
  </si>
  <si>
    <t>FİNANS
KODU</t>
  </si>
  <si>
    <t>EKONOMİK
AYRINTI KODU</t>
  </si>
  <si>
    <t>TUTAR</t>
  </si>
  <si>
    <t>BORÇ</t>
  </si>
  <si>
    <t>ALACAK</t>
  </si>
  <si>
    <t>HESAP
AYRINTI ADI</t>
  </si>
  <si>
    <t>BİRİM ADI</t>
  </si>
  <si>
    <t>VERGİ KİMLİK NO</t>
  </si>
  <si>
    <t>VERGİ DAİRESİ</t>
  </si>
  <si>
    <t>BANKA ŞUBE NO</t>
  </si>
  <si>
    <t>BANKA ŞUBE ADI</t>
  </si>
  <si>
    <t>KURUM 
BİRİM KODU</t>
  </si>
  <si>
    <t>SAYMANLIK
ADI / KODU</t>
  </si>
  <si>
    <t>İLGİLİNİN</t>
  </si>
  <si>
    <t>YEVMİYENİN</t>
  </si>
  <si>
    <t>TARİHİ</t>
  </si>
  <si>
    <t>NOSU</t>
  </si>
  <si>
    <t>KURUM SSK SİCİL NO</t>
  </si>
  <si>
    <t>BÜTÇE YILI</t>
  </si>
  <si>
    <t>ÖDEME EMRİ</t>
  </si>
  <si>
    <t>GELİR VERGİSİ</t>
  </si>
  <si>
    <t xml:space="preserve">YUKARIDA YAZILI </t>
  </si>
  <si>
    <t>TAHAKKUK ETTİRİLMİŞTİR. ÖDENMESİ / MAHSUBU GEREKİR.</t>
  </si>
  <si>
    <t>ÖDEME EMRİ
BELGESİ NO</t>
  </si>
  <si>
    <t>TAHAKKUK
EDEN</t>
  </si>
  <si>
    <t>ASGARİ GEÇİM
İNDİRİMİ</t>
  </si>
  <si>
    <t>ÖDENMESİ
GEREKEN</t>
  </si>
  <si>
    <t>ÇEK/GÖNDERME
EMRİ NO.</t>
  </si>
  <si>
    <t>TETKİK EDEN</t>
  </si>
  <si>
    <t>MEMUR</t>
  </si>
  <si>
    <t>ŞEF</t>
  </si>
  <si>
    <t>MÜDÜR YRD.</t>
  </si>
  <si>
    <t>ÖDEMEYE ESAS BELGENİN</t>
  </si>
  <si>
    <t>TÜRÜ</t>
  </si>
  <si>
    <t>NO SU</t>
  </si>
  <si>
    <t>TUTARI</t>
  </si>
  <si>
    <t>BANKA LİSTESİ</t>
  </si>
  <si>
    <t>GERÇEKLEŞTİRME</t>
  </si>
  <si>
    <t>YETKİLİSİ</t>
  </si>
  <si>
    <t>ŞUBE MÜDÜRÜ</t>
  </si>
  <si>
    <t>NET ELE 
GEÇEN</t>
  </si>
  <si>
    <t>MAAŞ
TUTARI</t>
  </si>
  <si>
    <t>BANKA / ŞUBE ADI</t>
  </si>
  <si>
    <t>ASGARİ GEÇİM İNDİRİMİNE ESAS AYLIK BRÜT TUTAR</t>
  </si>
  <si>
    <t>ASGARİ GEÇİM İNDİRİMİNE ESAS YILLIK BRÜT TUTAR</t>
  </si>
  <si>
    <t>T.C. Kimlik No</t>
  </si>
  <si>
    <t>ÖDEME YAPILACAK 
İCRA DAİRESİ</t>
  </si>
  <si>
    <t>ÖNCEKİ AYDAN 
KALAN TOPLAM 
İCRA BORCU</t>
  </si>
  <si>
    <t>KESİNTİ 
DÖNEMİ</t>
  </si>
  <si>
    <t>ÜCRETLİ ÖĞRETMEN İCRA KESİNTİ LİSTESİ</t>
  </si>
  <si>
    <t>S.N.</t>
  </si>
  <si>
    <t>KESİNTİ TOPLAMI</t>
  </si>
  <si>
    <t>ÖDEME YAPILACAK
DOSYA NUMARASI</t>
  </si>
  <si>
    <t>NAFAKA</t>
  </si>
  <si>
    <t>İCRA</t>
  </si>
  <si>
    <t>S.N</t>
  </si>
  <si>
    <t>S.NO</t>
  </si>
  <si>
    <t>T.C NO</t>
  </si>
  <si>
    <t>BRANŞ</t>
  </si>
  <si>
    <t>GÖREVLENDİRİLDİĞİ OKUL</t>
  </si>
  <si>
    <t>BAŞLAMA TARİHİ</t>
  </si>
  <si>
    <t>AYRILMA TARİHİ</t>
  </si>
  <si>
    <t xml:space="preserve">Asgari Ücrete göre, 1 Günlük Gv.den İndirilecek, 1 Günlük Asgari Geçim İndirimi Tutarları                                             </t>
  </si>
  <si>
    <t>B / Bekar</t>
  </si>
  <si>
    <t>1.E / Evli -- 2. E / Eşi Çalışıyor</t>
  </si>
  <si>
    <t xml:space="preserve">H / E şi çalışmıyor </t>
  </si>
  <si>
    <t>Rakam Çoçuk Sayısı</t>
  </si>
  <si>
    <t>Ödenecek Aylık Tutar</t>
  </si>
  <si>
    <t>16 Yaşından Büyük İşçi için</t>
  </si>
  <si>
    <t>Asgari Geçim İndirimi Parametreleri</t>
  </si>
  <si>
    <t>B</t>
  </si>
  <si>
    <t>Bekar</t>
  </si>
  <si>
    <t>Eş Dahil</t>
  </si>
  <si>
    <t>Eş Hariç</t>
  </si>
  <si>
    <t>16 Yaşından Büyük İşçilerde</t>
  </si>
  <si>
    <r>
      <t xml:space="preserve">SABİTLER </t>
    </r>
    <r>
      <rPr>
        <b/>
        <sz val="9"/>
        <color indexed="16"/>
        <rFont val="Arial Tur"/>
        <charset val="162"/>
      </rPr>
      <t>(Gerektiğinde Değiştirilecektir)</t>
    </r>
  </si>
  <si>
    <t>EE</t>
  </si>
  <si>
    <t>Çocuk Sayısı</t>
  </si>
  <si>
    <t>EH</t>
  </si>
  <si>
    <t>EH1</t>
  </si>
  <si>
    <t>Asgari Ücret</t>
  </si>
  <si>
    <t>EH2</t>
  </si>
  <si>
    <t>GVK.nun 103.Maddesindeki 1.Dilim Oranı</t>
  </si>
  <si>
    <t>EH3</t>
  </si>
  <si>
    <t>Kendisi için Asgari Geçim Oranı</t>
  </si>
  <si>
    <t>EH4</t>
  </si>
  <si>
    <t xml:space="preserve">Bir Eş (Çalışmayan ve herhangibir geliri bulunmayan) için Asgari Geçim Oranı </t>
  </si>
  <si>
    <t>EE1</t>
  </si>
  <si>
    <t>İlk İki Çocuk için Asgari Geçim Oranı (Herbiri için ayrı ayrı)</t>
  </si>
  <si>
    <t>EE2</t>
  </si>
  <si>
    <t>EE3</t>
  </si>
  <si>
    <t>EE4</t>
  </si>
  <si>
    <t>Asgari Ücret Bürüt x 12 Ay x = Kişinin Asgari Geçim İndirim Oranı (Bekar %50) = x Vergi Dilimi (%15) = / 12</t>
  </si>
  <si>
    <t xml:space="preserve"> </t>
  </si>
  <si>
    <t>MEDENİ HALİ</t>
  </si>
  <si>
    <t>AYLIK</t>
  </si>
  <si>
    <t>A.G.İ</t>
  </si>
  <si>
    <t>İND.</t>
  </si>
  <si>
    <t>İNDİRİLECEK ASGARİ GEÇİM İND.
GEÇİM İNDİRİMİ
TUTARI</t>
  </si>
  <si>
    <t>ASGARİ GEÇİM
İNDİRİMİNE ESAS
AYLIK TUTAR</t>
  </si>
  <si>
    <t>MEDENİ
HALİ</t>
  </si>
  <si>
    <t>ASGARİ GEÇİM İNDİRİMİ TABLOSU</t>
  </si>
  <si>
    <t>AİT OLDUĞU AY/YIL</t>
  </si>
  <si>
    <t>BÜNYESİNDE ÇALIŞAN SİGORTALILAR LİSTESİ</t>
  </si>
  <si>
    <t>DAİRESİ</t>
  </si>
  <si>
    <t>DÖNEMİ</t>
  </si>
  <si>
    <t>SİGORTA NO</t>
  </si>
  <si>
    <t>TOPLAM SSK
KESİNTİSİ</t>
  </si>
  <si>
    <t>Oran</t>
  </si>
  <si>
    <t>İŞVEREN SSK KESİNTİSİ %20,5</t>
  </si>
  <si>
    <t>KİŞİ SSK KESİNTİSİ %14
   MİKTARI</t>
  </si>
  <si>
    <t>BANKA HESAP NO</t>
  </si>
  <si>
    <t>BAŞLAMA 
TARİHİ</t>
  </si>
  <si>
    <t>AYRILMA
TARİHİ</t>
  </si>
  <si>
    <t>BANKA 
KODU</t>
  </si>
  <si>
    <t>DAMGA</t>
  </si>
  <si>
    <t>SSK KESİNTİ İCMALİ</t>
  </si>
  <si>
    <t>AİT OLDUĞU
 AY/YIL</t>
  </si>
  <si>
    <t>Memur Maaş Katsayısı</t>
  </si>
  <si>
    <t>ASGARİ ÜCRET</t>
  </si>
  <si>
    <t xml:space="preserve">  ÜCRETLİ ÖĞRETMEN LİSTESİ</t>
  </si>
  <si>
    <t>KURUM HESAP NO</t>
  </si>
  <si>
    <t>BANKA 
ŞUBE KODU</t>
  </si>
  <si>
    <t>PRİME ESAS
KAZANÇ TOPLAMI</t>
  </si>
  <si>
    <t>SSK KESİNTİ
TOPLAMI</t>
  </si>
  <si>
    <t>ÖDENECEK</t>
  </si>
  <si>
    <t>GELİR
VERGİ</t>
  </si>
  <si>
    <t>3. Çocuk</t>
  </si>
  <si>
    <t>4. ve üzeri Çocuk</t>
  </si>
  <si>
    <t>EE5</t>
  </si>
  <si>
    <t xml:space="preserve">MEMUR MAAŞ KATSAYISI: http://www.bumko.gov.tr/TR,909/maas-istatistikleri--verileri.html       Memur Maaş Hesabında Kullanılan Katsayılar </t>
  </si>
  <si>
    <t>BRÜT ASGARİ ÜCRET: http://www.bumko.gov.tr/TR,909/maas-istatistikleri--verileri.html    Asgari Ücret Bölümü</t>
  </si>
  <si>
    <t>BEKAR</t>
  </si>
  <si>
    <t>EVLİ EŞİ ÇALIŞAN</t>
  </si>
  <si>
    <t>EVLİ EŞİ ÇALIŞMAYAN</t>
  </si>
  <si>
    <t>EVLİ EŞİ ÇALIŞMAYAN 1 ÇOCUK</t>
  </si>
  <si>
    <t>EVLİ EŞİ ÇALIŞMAYAN 2 ÇOCUK</t>
  </si>
  <si>
    <t>EVLİ EŞİ ÇALIŞMAYAN 3 ÇOCUK</t>
  </si>
  <si>
    <t>EVLİ EŞİ ÇALIŞMAYAN 4 ÇOCUK</t>
  </si>
  <si>
    <t>EVLİ EŞİ ÇALIŞAN 1 ÇOCUK</t>
  </si>
  <si>
    <t>EVLİ EŞİ ÇALIŞAN 2 ÇOCUK</t>
  </si>
  <si>
    <t>EVLİ EŞİ ÇALIŞAN 3 ÇOCUK</t>
  </si>
  <si>
    <t>EVLİ EŞİ ÇALIŞAN 4 ÇOCUK</t>
  </si>
  <si>
    <t>EVLİ EŞİ ÇALIŞAN 5 ÇOCUK</t>
  </si>
  <si>
    <t>ÜCRETLİ ÖĞRETMENLER HAFTALIK 30 SAAT ÜZERİ ÜCRET ALAMAZLAR.</t>
  </si>
  <si>
    <t>HAZİRAN</t>
  </si>
  <si>
    <t>Kurum Adı</t>
  </si>
  <si>
    <t>Kurum Kodu</t>
  </si>
  <si>
    <t>Saymanlık</t>
  </si>
  <si>
    <t>Genel Ortaöğretim Okulları</t>
  </si>
  <si>
    <t>Mesleki ve Teknik Eğitim Okulları</t>
  </si>
  <si>
    <t>Din Öğretimi Okulları</t>
  </si>
  <si>
    <t>Özel Eğitim Okul ve Kurumları</t>
  </si>
  <si>
    <t>Hayat Boyu Öğrenme ve Halk Eğitim Merkezleri</t>
  </si>
  <si>
    <t>13.1.32.62.xxx Kurumun KBS'deki Kendi Kodu Yazılacak</t>
  </si>
  <si>
    <t>13.1.33.62.xxx Kurumun KBS'deki Kendi Kodu Yazılacak</t>
  </si>
  <si>
    <t>13.1.37.62.xxx Kurumun KBS'deki Kendi Kodu Yazılacak</t>
  </si>
  <si>
    <t>13.1.38.62.xxx Kurumun KBS'deki Kendi Kodu Yazılacak</t>
  </si>
  <si>
    <t>13.1.43.62.xxx Kurumun KBS'deki Kendi Kodu Yazılacak</t>
  </si>
  <si>
    <t>Nakitte Kurum Birim Kodu</t>
  </si>
  <si>
    <t>SGK TOPLAM</t>
  </si>
  <si>
    <t>MEDENİ HAL: İlgilinin vermiş olduğu Aile Durum Bildirim Formuna göre A.G.İ. TABLO sundaki kırmızı alandan  seçilerek KİŞİ BİLGİSİ sayfasındaki medeni hali kısmına kırmızı alanda ne yazıyo ise o yazılaçaktır</t>
  </si>
  <si>
    <t>ASGARİ ÜCRET KISMI SADECE 1 OCAK İTİBARİ İLE İLAN EDİLEN ASGARİ ÜCRET TÜM YIL GECERLİ OLMAK ÜZERE BİRKEREYE MAHSUS GİRİLECEK,.</t>
  </si>
  <si>
    <t>ASGARİ GEÇİM İNDİRİMİ 1 YIL SÜRE İLE GEÇERLİDİR. 1 OCAK İTİBARİ İLE ASGARİ ÜCRETİN GÜNCELLENMESİ İLE ASGARİ GEÇİM İNDİRİM TUTARI GÜNCELLENİR.</t>
  </si>
  <si>
    <t>İCRA KESİNTİSİ İCRA TABLOSUNA MANUEL HESAPLANAARAK YAZILIR  VE HER AY KESİLECEK MİKTAR BORDRODA İLGİLİ ALANA İŞLENİR.</t>
  </si>
  <si>
    <t>İLK DEFA GÖREVE BAŞLAYACAK ÜCRETLİ ÖĞRETMENLER DEN AİLE DURUM BİLDİRİM FORMU - NUFUS CÜZDANI FOTOKOPİSİ ÇALIŞMA ONAYI VE HESAP NUMARASI İSTENİR (OKULUN ÇALIŞTIĞI BANKADAN)</t>
  </si>
  <si>
    <t>SAYFALARDAKİ SARI İLE RENKLENDİRİLMİŞ ALANLARDAKİ AÇIKLAMALARA DİKKAT EDİLMELİDİR</t>
  </si>
  <si>
    <t>ÖDEME EMRİ BELGESİ</t>
  </si>
  <si>
    <t>BELGE TÜRÜ</t>
  </si>
  <si>
    <t xml:space="preserve">Malmüdürlüğü(Adet) </t>
  </si>
  <si>
    <t>Okul (Adet)</t>
  </si>
  <si>
    <t>BORDRO</t>
  </si>
  <si>
    <t>SSK KESİNTİ LİSTESİ</t>
  </si>
  <si>
    <t>AGİ TABLOSU</t>
  </si>
  <si>
    <t>İCRA VARSA</t>
  </si>
  <si>
    <t>SGK TAHAKKUK FİŞİ</t>
  </si>
  <si>
    <t>TESLİM TUTANAĞI</t>
  </si>
  <si>
    <t>AYRICA GÖREVE BAŞLAMA VARSA GÖREVLENDİRME OLURU KONULACAK</t>
  </si>
  <si>
    <t>İCRA VARSA MALMÜDÜRLÜĞÜNE DOSYA AÇILMASI İÇİN MALMÜDÜRLÜĞÜNE BİLGİ YAZISI YAZILACAK.</t>
  </si>
  <si>
    <t>Emekli öğretmenlere ait bordro hesaplamasındada aynı açıklamaları dikkate alınız.</t>
  </si>
  <si>
    <t>ATATÜRK ANADOLU LİSESİ MÜDÜRLÜĞÜ</t>
  </si>
  <si>
    <t>18531010110993470540176-000</t>
  </si>
  <si>
    <t>PUANTAJ</t>
  </si>
  <si>
    <t>Maaş evraklarının çıktısı alınmadan önce e-bildirge tahakkuk fişi ödenecek tutar ile bordrodaki sgk toplamının eşit olmasına dikkat edilmelidir.</t>
  </si>
  <si>
    <t>E-bildirge sistemindeki tahakkuk fişi ödenecek tutar ile bordrodaki sgk toplamının aynı olması gerekmektedir. Aynı değil ise bordrodaki sgk toplamındaki açıklamalar doğrultusunda işlem yapılmalıdır.</t>
  </si>
  <si>
    <t xml:space="preserve">İCRA
</t>
  </si>
  <si>
    <t>KESİNTİ TÜRÜ (İCRA/NAFAKA)</t>
  </si>
  <si>
    <t xml:space="preserve">KESİLEN 
</t>
  </si>
  <si>
    <t>KALAN 
TUTAR</t>
  </si>
  <si>
    <t>İCRA VE NAFAKA MANUEL HESAPLANARAK İLGİLİ BÖLÜME YAZILACAK VE KALAN BORÇ KONTROLÜ MANUEL YAPILACAKTIR.</t>
  </si>
  <si>
    <t>DEVLET
Y.M.E.</t>
  </si>
  <si>
    <t>DEVLET
Kisa Vad.Sig. K</t>
  </si>
  <si>
    <t>DEVLET
G.S.S.</t>
  </si>
  <si>
    <t>KİŞİ
G.S.S.</t>
  </si>
  <si>
    <t>KİŞİ
Y.M.E.</t>
  </si>
  <si>
    <t>DYK
SAATİ</t>
  </si>
  <si>
    <t>GÜNDÜZ
SAATİ</t>
  </si>
  <si>
    <t>DYK
SAAT</t>
  </si>
  <si>
    <t>Diğer Geçici
Personele
Yapılacak
Ö demeler</t>
  </si>
  <si>
    <t>Damga V ergisi - Maaş,
Ücret v b. Her Ne A dla
O lursa O lsun Hizmet
Karşılığı Yapılan Ö demeler
(A v ans Dahil) Nedeniy le
Düzenlenen Makbuzlar ile
Bu Mahiy etteki Kağıtlar</t>
  </si>
  <si>
    <t>Malüllük,Yaşlılık v e
Emeklilik Primi (işv eren-işçi)</t>
  </si>
  <si>
    <t>Genel Sağlık Sigortası Primi
(işv eren-işçi)</t>
  </si>
  <si>
    <t>KISA VADELİ SİGORTA  (işv eren-işçi)</t>
  </si>
  <si>
    <t>Malüllük,Yaşlılık v e
Emeklilik Primi (iştirakçi-işçi)</t>
  </si>
  <si>
    <t>Genel Sağlık Sigortası Primi
(iştirakçi-işçi)</t>
  </si>
  <si>
    <t>Ücretlerde
V ergi
İndirimi</t>
  </si>
  <si>
    <t>Ödenmesi Gereken Tutar</t>
  </si>
  <si>
    <t>Sosyal
 Güvenlik
Primi
Ödemeleri -
Geçici
Personel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</si>
</sst>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000"/>
  </numFmts>
  <fonts count="62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sz val="7"/>
      <name val="Arial Tur"/>
      <charset val="162"/>
    </font>
    <font>
      <b/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name val="Arial Tur"/>
      <family val="2"/>
      <charset val="162"/>
    </font>
    <font>
      <sz val="10"/>
      <color indexed="9"/>
      <name val="Arial Tur"/>
      <charset val="162"/>
    </font>
    <font>
      <b/>
      <i/>
      <sz val="12"/>
      <color indexed="14"/>
      <name val="Arial Tur"/>
      <charset val="162"/>
    </font>
    <font>
      <b/>
      <i/>
      <sz val="14"/>
      <color indexed="16"/>
      <name val="Arial Tur"/>
      <charset val="162"/>
    </font>
    <font>
      <sz val="15"/>
      <name val="Arial Tur"/>
      <charset val="162"/>
    </font>
    <font>
      <sz val="11"/>
      <name val="Times New Roman"/>
      <family val="1"/>
    </font>
    <font>
      <b/>
      <sz val="11"/>
      <name val="Arial Tur"/>
      <charset val="162"/>
    </font>
    <font>
      <b/>
      <sz val="9"/>
      <color indexed="16"/>
      <name val="Arial Tur"/>
      <charset val="162"/>
    </font>
    <font>
      <sz val="12"/>
      <name val="Arial Tur"/>
      <family val="2"/>
      <charset val="162"/>
    </font>
    <font>
      <sz val="11"/>
      <name val="Arial Tur"/>
      <family val="2"/>
      <charset val="162"/>
    </font>
    <font>
      <sz val="7.5"/>
      <name val="Arial Tur"/>
      <family val="2"/>
      <charset val="162"/>
    </font>
    <font>
      <b/>
      <sz val="9"/>
      <name val="Arial Tur"/>
      <charset val="162"/>
    </font>
    <font>
      <b/>
      <sz val="16"/>
      <color indexed="12"/>
      <name val="Arial Tur"/>
      <charset val="162"/>
    </font>
    <font>
      <b/>
      <sz val="14"/>
      <color indexed="12"/>
      <name val="Arial Tur"/>
      <charset val="162"/>
    </font>
    <font>
      <sz val="8"/>
      <name val="Century Gothic"/>
      <family val="2"/>
      <charset val="162"/>
    </font>
    <font>
      <sz val="14"/>
      <name val="Arial Tur"/>
      <charset val="162"/>
    </font>
    <font>
      <i/>
      <sz val="8"/>
      <name val="Arial Tur"/>
      <charset val="162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2"/>
      <name val="Arial Tur"/>
      <charset val="162"/>
    </font>
    <font>
      <b/>
      <sz val="12"/>
      <name val="Arial"/>
      <family val="2"/>
      <charset val="162"/>
    </font>
    <font>
      <sz val="12"/>
      <name val="Century Gothic"/>
      <family val="2"/>
      <charset val="162"/>
    </font>
    <font>
      <sz val="11"/>
      <name val="Century Gothic"/>
      <family val="2"/>
      <charset val="162"/>
    </font>
    <font>
      <sz val="10"/>
      <name val="Century Gothic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6"/>
      <name val="Arial Tur"/>
      <charset val="162"/>
    </font>
    <font>
      <b/>
      <u/>
      <sz val="9"/>
      <color indexed="81"/>
      <name val="Tahoma"/>
      <family val="2"/>
      <charset val="162"/>
    </font>
    <font>
      <u/>
      <sz val="10"/>
      <color theme="10"/>
      <name val="Arial Tur"/>
      <charset val="162"/>
    </font>
    <font>
      <sz val="10"/>
      <color rgb="FFFF0000"/>
      <name val="Arial Tur"/>
      <charset val="162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0"/>
      <color theme="0"/>
      <name val="Arial Tur"/>
      <charset val="162"/>
    </font>
    <font>
      <sz val="12"/>
      <color theme="1"/>
      <name val="Arial"/>
      <family val="2"/>
      <charset val="162"/>
    </font>
    <font>
      <sz val="12"/>
      <color theme="1"/>
      <name val="Arial Tur"/>
      <charset val="162"/>
    </font>
    <font>
      <sz val="14"/>
      <color theme="1"/>
      <name val="Arial"/>
      <family val="2"/>
      <charset val="162"/>
    </font>
    <font>
      <sz val="8"/>
      <color theme="0"/>
      <name val="Arial Tur"/>
      <charset val="16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4" fillId="16" borderId="5" applyNumberFormat="0" applyAlignment="0" applyProtection="0"/>
    <xf numFmtId="0" fontId="15" fillId="7" borderId="6" applyNumberFormat="0" applyAlignment="0" applyProtection="0"/>
    <xf numFmtId="0" fontId="16" fillId="16" borderId="6" applyNumberFormat="0" applyAlignment="0" applyProtection="0"/>
    <xf numFmtId="0" fontId="17" fillId="17" borderId="7" applyNumberFormat="0" applyAlignment="0" applyProtection="0"/>
    <xf numFmtId="0" fontId="18" fillId="4" borderId="0" applyNumberFormat="0" applyBorder="0" applyAlignment="0" applyProtection="0"/>
    <xf numFmtId="0" fontId="53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" fillId="18" borderId="8" applyNumberFormat="0" applyFont="0" applyAlignment="0" applyProtection="0"/>
    <xf numFmtId="0" fontId="20" fillId="19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3" borderId="0" applyNumberFormat="0" applyBorder="0" applyAlignment="0" applyProtection="0"/>
  </cellStyleXfs>
  <cellXfs count="455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/>
    <xf numFmtId="0" fontId="1" fillId="0" borderId="0" xfId="0" applyFont="1" applyAlignment="1">
      <alignment horizontal="center" vertical="center" wrapText="1"/>
    </xf>
    <xf numFmtId="0" fontId="24" fillId="25" borderId="11" xfId="0" applyFont="1" applyFill="1" applyBorder="1" applyAlignment="1">
      <alignment horizontal="center" vertical="center" wrapText="1"/>
    </xf>
    <xf numFmtId="0" fontId="1" fillId="26" borderId="12" xfId="0" applyFont="1" applyFill="1" applyBorder="1" applyAlignment="1">
      <alignment horizontal="center" vertical="center" wrapText="1"/>
    </xf>
    <xf numFmtId="0" fontId="1" fillId="26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5" borderId="0" xfId="0" applyFont="1" applyFill="1" applyBorder="1" applyAlignment="1">
      <alignment vertical="center"/>
    </xf>
    <xf numFmtId="0" fontId="24" fillId="25" borderId="0" xfId="0" applyFont="1" applyFill="1" applyBorder="1" applyAlignment="1">
      <alignment vertical="center"/>
    </xf>
    <xf numFmtId="0" fontId="28" fillId="27" borderId="14" xfId="0" applyFont="1" applyFill="1" applyBorder="1" applyAlignment="1">
      <alignment vertical="center" wrapText="1"/>
    </xf>
    <xf numFmtId="0" fontId="28" fillId="27" borderId="15" xfId="0" applyFont="1" applyFill="1" applyBorder="1" applyAlignment="1">
      <alignment vertical="center" wrapText="1"/>
    </xf>
    <xf numFmtId="0" fontId="29" fillId="27" borderId="10" xfId="0" applyNumberFormat="1" applyFont="1" applyFill="1" applyBorder="1" applyAlignment="1">
      <alignment horizontal="center" vertical="center" wrapText="1"/>
    </xf>
    <xf numFmtId="0" fontId="1" fillId="28" borderId="16" xfId="0" applyFont="1" applyFill="1" applyBorder="1" applyAlignment="1">
      <alignment horizontal="left" vertical="center"/>
    </xf>
    <xf numFmtId="0" fontId="31" fillId="27" borderId="10" xfId="0" applyNumberFormat="1" applyFont="1" applyFill="1" applyBorder="1" applyAlignment="1">
      <alignment horizontal="center" vertical="center"/>
    </xf>
    <xf numFmtId="4" fontId="32" fillId="27" borderId="10" xfId="0" applyNumberFormat="1" applyFont="1" applyFill="1" applyBorder="1" applyAlignment="1">
      <alignment horizontal="right" vertical="center" wrapText="1"/>
    </xf>
    <xf numFmtId="4" fontId="33" fillId="29" borderId="10" xfId="0" applyNumberFormat="1" applyFont="1" applyFill="1" applyBorder="1" applyAlignment="1">
      <alignment horizontal="right" vertical="center" wrapText="1"/>
    </xf>
    <xf numFmtId="0" fontId="1" fillId="28" borderId="17" xfId="0" applyFont="1" applyFill="1" applyBorder="1" applyAlignment="1">
      <alignment horizontal="left" vertical="center"/>
    </xf>
    <xf numFmtId="0" fontId="1" fillId="28" borderId="15" xfId="0" applyFont="1" applyFill="1" applyBorder="1" applyAlignment="1">
      <alignment horizontal="left" vertical="center"/>
    </xf>
    <xf numFmtId="0" fontId="34" fillId="30" borderId="10" xfId="0" applyFont="1" applyFill="1" applyBorder="1" applyAlignment="1">
      <alignment horizontal="left" vertical="center" wrapText="1"/>
    </xf>
    <xf numFmtId="4" fontId="35" fillId="30" borderId="10" xfId="0" applyNumberFormat="1" applyFont="1" applyFill="1" applyBorder="1" applyAlignment="1">
      <alignment horizontal="right" vertical="center"/>
    </xf>
    <xf numFmtId="0" fontId="31" fillId="27" borderId="10" xfId="0" applyFont="1" applyFill="1" applyBorder="1" applyAlignment="1">
      <alignment horizontal="center" vertical="center"/>
    </xf>
    <xf numFmtId="0" fontId="1" fillId="29" borderId="10" xfId="0" applyNumberFormat="1" applyFont="1" applyFill="1" applyBorder="1" applyAlignment="1">
      <alignment horizontal="center" vertical="center"/>
    </xf>
    <xf numFmtId="10" fontId="36" fillId="30" borderId="10" xfId="0" applyNumberFormat="1" applyFont="1" applyFill="1" applyBorder="1" applyAlignment="1">
      <alignment horizontal="right" vertical="center"/>
    </xf>
    <xf numFmtId="49" fontId="1" fillId="29" borderId="10" xfId="0" applyNumberFormat="1" applyFont="1" applyFill="1" applyBorder="1" applyAlignment="1">
      <alignment horizontal="center" vertical="center"/>
    </xf>
    <xf numFmtId="0" fontId="34" fillId="30" borderId="10" xfId="0" applyFont="1" applyFill="1" applyBorder="1" applyAlignment="1">
      <alignment horizontal="left" vertical="center"/>
    </xf>
    <xf numFmtId="9" fontId="36" fillId="30" borderId="10" xfId="0" applyNumberFormat="1" applyFont="1" applyFill="1" applyBorder="1" applyAlignment="1">
      <alignment vertical="center"/>
    </xf>
    <xf numFmtId="0" fontId="1" fillId="29" borderId="10" xfId="0" applyFont="1" applyFill="1" applyBorder="1" applyAlignment="1">
      <alignment vertical="center"/>
    </xf>
    <xf numFmtId="0" fontId="34" fillId="30" borderId="10" xfId="0" applyFont="1" applyFill="1" applyBorder="1" applyAlignment="1">
      <alignment vertical="center" wrapText="1"/>
    </xf>
    <xf numFmtId="10" fontId="36" fillId="30" borderId="10" xfId="0" applyNumberFormat="1" applyFont="1" applyFill="1" applyBorder="1" applyAlignment="1">
      <alignment vertical="center"/>
    </xf>
    <xf numFmtId="9" fontId="1" fillId="25" borderId="0" xfId="0" applyNumberFormat="1" applyFont="1" applyFill="1" applyBorder="1" applyAlignment="1">
      <alignment vertical="center"/>
    </xf>
    <xf numFmtId="0" fontId="1" fillId="25" borderId="18" xfId="0" applyFont="1" applyFill="1" applyBorder="1" applyAlignment="1">
      <alignment vertical="center"/>
    </xf>
    <xf numFmtId="4" fontId="1" fillId="25" borderId="0" xfId="0" applyNumberFormat="1" applyFont="1" applyFill="1" applyBorder="1" applyAlignment="1">
      <alignment vertical="center"/>
    </xf>
    <xf numFmtId="0" fontId="1" fillId="25" borderId="19" xfId="0" applyFont="1" applyFill="1" applyBorder="1" applyAlignment="1">
      <alignment vertical="center"/>
    </xf>
    <xf numFmtId="0" fontId="1" fillId="25" borderId="0" xfId="0" applyFont="1" applyFill="1" applyBorder="1" applyAlignment="1">
      <alignment horizontal="center" vertical="center"/>
    </xf>
    <xf numFmtId="0" fontId="1" fillId="25" borderId="20" xfId="0" applyFont="1" applyFill="1" applyBorder="1" applyAlignment="1">
      <alignment vertical="center"/>
    </xf>
    <xf numFmtId="0" fontId="1" fillId="25" borderId="21" xfId="0" applyFont="1" applyFill="1" applyBorder="1" applyAlignment="1">
      <alignment horizontal="center" vertical="center"/>
    </xf>
    <xf numFmtId="0" fontId="1" fillId="25" borderId="21" xfId="0" applyFont="1" applyFill="1" applyBorder="1" applyAlignment="1">
      <alignment vertical="center"/>
    </xf>
    <xf numFmtId="4" fontId="1" fillId="25" borderId="21" xfId="0" applyNumberFormat="1" applyFont="1" applyFill="1" applyBorder="1" applyAlignment="1">
      <alignment vertical="center"/>
    </xf>
    <xf numFmtId="0" fontId="1" fillId="25" borderId="2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37" fillId="0" borderId="0" xfId="0" applyFont="1" applyFill="1" applyBorder="1" applyAlignment="1">
      <alignment horizontal="center" vertical="center" wrapText="1"/>
    </xf>
    <xf numFmtId="2" fontId="37" fillId="0" borderId="0" xfId="0" applyNumberFormat="1" applyFont="1" applyFill="1" applyBorder="1" applyAlignment="1">
      <alignment horizontal="right" vertical="center" wrapText="1"/>
    </xf>
    <xf numFmtId="9" fontId="3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9" fillId="0" borderId="10" xfId="0" applyFont="1" applyBorder="1"/>
    <xf numFmtId="4" fontId="2" fillId="0" borderId="10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4" fontId="2" fillId="0" borderId="24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9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Border="1" applyAlignment="1">
      <alignment horizontal="left"/>
    </xf>
    <xf numFmtId="2" fontId="2" fillId="0" borderId="25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1" fontId="37" fillId="0" borderId="0" xfId="0" applyNumberFormat="1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right" vertical="center" wrapText="1"/>
    </xf>
    <xf numFmtId="0" fontId="37" fillId="0" borderId="0" xfId="0" applyFont="1" applyFill="1" applyAlignment="1">
      <alignment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left" vertical="center" wrapText="1"/>
    </xf>
    <xf numFmtId="49" fontId="37" fillId="0" borderId="10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1" fontId="37" fillId="0" borderId="26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left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1" fontId="37" fillId="0" borderId="10" xfId="0" applyNumberFormat="1" applyFont="1" applyFill="1" applyBorder="1" applyAlignment="1">
      <alignment horizontal="center" vertical="center" wrapText="1"/>
    </xf>
    <xf numFmtId="2" fontId="37" fillId="0" borderId="10" xfId="0" applyNumberFormat="1" applyFont="1" applyFill="1" applyBorder="1" applyAlignment="1">
      <alignment horizontal="right" vertical="center" wrapText="1"/>
    </xf>
    <xf numFmtId="165" fontId="37" fillId="0" borderId="10" xfId="26" applyNumberFormat="1" applyFont="1" applyFill="1" applyBorder="1" applyAlignment="1">
      <alignment horizontal="right" vertical="center" wrapText="1"/>
    </xf>
    <xf numFmtId="165" fontId="37" fillId="0" borderId="10" xfId="0" applyNumberFormat="1" applyFont="1" applyFill="1" applyBorder="1" applyAlignment="1">
      <alignment horizontal="right" vertical="center" wrapText="1"/>
    </xf>
    <xf numFmtId="165" fontId="37" fillId="0" borderId="0" xfId="0" applyNumberFormat="1" applyFont="1" applyFill="1" applyBorder="1" applyAlignment="1">
      <alignment horizontal="right" vertical="center" wrapText="1"/>
    </xf>
    <xf numFmtId="0" fontId="37" fillId="0" borderId="0" xfId="0" applyFont="1" applyFill="1" applyAlignment="1">
      <alignment horizontal="left" vertical="center" wrapText="1"/>
    </xf>
    <xf numFmtId="1" fontId="37" fillId="0" borderId="0" xfId="0" applyNumberFormat="1" applyFont="1" applyFill="1" applyAlignment="1">
      <alignment vertical="center" wrapText="1"/>
    </xf>
    <xf numFmtId="0" fontId="37" fillId="0" borderId="0" xfId="0" applyFont="1" applyFill="1" applyAlignment="1">
      <alignment horizontal="right" vertical="center" wrapText="1"/>
    </xf>
    <xf numFmtId="49" fontId="42" fillId="0" borderId="10" xfId="0" applyNumberFormat="1" applyFont="1" applyBorder="1" applyAlignment="1">
      <alignment horizontal="center" vertical="center"/>
    </xf>
    <xf numFmtId="4" fontId="47" fillId="0" borderId="10" xfId="0" applyNumberFormat="1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wrapText="1"/>
    </xf>
    <xf numFmtId="20" fontId="0" fillId="0" borderId="0" xfId="0" applyNumberFormat="1"/>
    <xf numFmtId="4" fontId="27" fillId="31" borderId="17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54" fillId="0" borderId="0" xfId="0" applyFont="1"/>
    <xf numFmtId="0" fontId="40" fillId="33" borderId="10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34" borderId="33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3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>
      <alignment horizontal="center"/>
    </xf>
    <xf numFmtId="0" fontId="2" fillId="0" borderId="34" xfId="0" applyFont="1" applyFill="1" applyBorder="1" applyAlignment="1" applyProtection="1"/>
    <xf numFmtId="2" fontId="2" fillId="0" borderId="35" xfId="0" applyNumberFormat="1" applyFont="1" applyFill="1" applyBorder="1" applyAlignment="1" applyProtection="1"/>
    <xf numFmtId="0" fontId="2" fillId="0" borderId="35" xfId="0" applyFont="1" applyFill="1" applyBorder="1" applyAlignment="1" applyProtection="1">
      <alignment horizontal="center" vertical="center"/>
    </xf>
    <xf numFmtId="4" fontId="4" fillId="0" borderId="35" xfId="0" applyNumberFormat="1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1" fontId="2" fillId="0" borderId="23" xfId="0" applyNumberFormat="1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vertical="center"/>
    </xf>
    <xf numFmtId="14" fontId="4" fillId="0" borderId="23" xfId="0" applyNumberFormat="1" applyFont="1" applyFill="1" applyBorder="1" applyAlignment="1" applyProtection="1">
      <alignment horizontal="left" vertical="center"/>
    </xf>
    <xf numFmtId="2" fontId="2" fillId="0" borderId="23" xfId="0" applyNumberFormat="1" applyFont="1" applyFill="1" applyBorder="1" applyAlignment="1" applyProtection="1">
      <alignment horizontal="right" vertical="center"/>
    </xf>
    <xf numFmtId="2" fontId="2" fillId="0" borderId="10" xfId="0" applyNumberFormat="1" applyFont="1" applyFill="1" applyBorder="1" applyAlignment="1" applyProtection="1">
      <alignment horizontal="right" vertical="center"/>
    </xf>
    <xf numFmtId="2" fontId="2" fillId="0" borderId="37" xfId="0" applyNumberFormat="1" applyFont="1" applyFill="1" applyBorder="1" applyAlignment="1" applyProtection="1">
      <alignment horizontal="right" vertical="center"/>
    </xf>
    <xf numFmtId="0" fontId="5" fillId="0" borderId="35" xfId="0" applyFont="1" applyFill="1" applyBorder="1" applyAlignment="1" applyProtection="1">
      <alignment horizontal="center"/>
    </xf>
    <xf numFmtId="1" fontId="4" fillId="0" borderId="38" xfId="0" applyNumberFormat="1" applyFont="1" applyFill="1" applyBorder="1" applyAlignment="1" applyProtection="1">
      <alignment horizontal="center"/>
    </xf>
    <xf numFmtId="1" fontId="4" fillId="0" borderId="39" xfId="0" applyNumberFormat="1" applyFont="1" applyFill="1" applyBorder="1" applyAlignment="1" applyProtection="1">
      <alignment horizontal="center"/>
    </xf>
    <xf numFmtId="4" fontId="4" fillId="0" borderId="39" xfId="0" applyNumberFormat="1" applyFont="1" applyFill="1" applyBorder="1" applyAlignment="1" applyProtection="1">
      <alignment horizontal="right"/>
    </xf>
    <xf numFmtId="4" fontId="4" fillId="0" borderId="40" xfId="0" applyNumberFormat="1" applyFont="1" applyFill="1" applyBorder="1" applyAlignment="1" applyProtection="1">
      <alignment horizontal="right"/>
    </xf>
    <xf numFmtId="1" fontId="2" fillId="0" borderId="41" xfId="0" applyNumberFormat="1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vertical="center"/>
    </xf>
    <xf numFmtId="0" fontId="2" fillId="0" borderId="41" xfId="0" applyFont="1" applyFill="1" applyBorder="1" applyProtection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5" fillId="0" borderId="42" xfId="0" applyFont="1" applyFill="1" applyBorder="1"/>
    <xf numFmtId="0" fontId="55" fillId="0" borderId="43" xfId="0" applyFont="1" applyFill="1" applyBorder="1"/>
    <xf numFmtId="0" fontId="55" fillId="0" borderId="43" xfId="0" applyFont="1" applyFill="1" applyBorder="1" applyAlignment="1">
      <alignment horizontal="center"/>
    </xf>
    <xf numFmtId="0" fontId="55" fillId="0" borderId="44" xfId="0" applyFont="1" applyFill="1" applyBorder="1"/>
    <xf numFmtId="0" fontId="55" fillId="0" borderId="45" xfId="0" applyFont="1" applyFill="1" applyBorder="1"/>
    <xf numFmtId="0" fontId="55" fillId="0" borderId="46" xfId="0" applyFont="1" applyFill="1" applyBorder="1"/>
    <xf numFmtId="0" fontId="55" fillId="0" borderId="46" xfId="0" applyFont="1" applyFill="1" applyBorder="1" applyAlignment="1">
      <alignment horizontal="center"/>
    </xf>
    <xf numFmtId="0" fontId="55" fillId="0" borderId="47" xfId="0" applyFont="1" applyFill="1" applyBorder="1"/>
    <xf numFmtId="0" fontId="55" fillId="0" borderId="10" xfId="0" applyFont="1" applyFill="1" applyBorder="1"/>
    <xf numFmtId="0" fontId="56" fillId="0" borderId="10" xfId="0" applyFont="1" applyFill="1" applyBorder="1" applyAlignment="1">
      <alignment horizontal="center" vertical="center" wrapText="1"/>
    </xf>
    <xf numFmtId="0" fontId="56" fillId="35" borderId="10" xfId="0" applyFont="1" applyFill="1" applyBorder="1" applyAlignment="1">
      <alignment horizontal="center" vertical="center" wrapText="1"/>
    </xf>
    <xf numFmtId="4" fontId="2" fillId="0" borderId="0" xfId="0" applyNumberFormat="1" applyFont="1" applyFill="1" applyProtection="1"/>
    <xf numFmtId="0" fontId="51" fillId="34" borderId="0" xfId="0" applyFont="1" applyFill="1" applyProtection="1"/>
    <xf numFmtId="0" fontId="0" fillId="34" borderId="0" xfId="0" applyFill="1"/>
    <xf numFmtId="0" fontId="0" fillId="0" borderId="0" xfId="0" applyAlignment="1">
      <alignment wrapText="1"/>
    </xf>
    <xf numFmtId="0" fontId="2" fillId="34" borderId="48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4" fontId="0" fillId="0" borderId="10" xfId="0" applyNumberFormat="1" applyFill="1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alignment horizontal="center"/>
      <protection locked="0"/>
    </xf>
    <xf numFmtId="2" fontId="0" fillId="0" borderId="10" xfId="0" applyNumberFormat="1" applyFill="1" applyBorder="1" applyAlignment="1" applyProtection="1">
      <alignment horizontal="center"/>
      <protection locked="0"/>
    </xf>
    <xf numFmtId="0" fontId="0" fillId="0" borderId="46" xfId="0" applyFill="1" applyBorder="1"/>
    <xf numFmtId="0" fontId="55" fillId="0" borderId="10" xfId="0" applyFont="1" applyFill="1" applyBorder="1" applyAlignment="1">
      <alignment horizontal="center"/>
    </xf>
    <xf numFmtId="0" fontId="56" fillId="34" borderId="1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57" fillId="0" borderId="0" xfId="0" applyFont="1" applyFill="1" applyBorder="1" applyAlignment="1">
      <alignment horizontal="left" vertical="center"/>
    </xf>
    <xf numFmtId="0" fontId="58" fillId="0" borderId="10" xfId="0" applyFont="1" applyFill="1" applyBorder="1" applyProtection="1">
      <protection locked="0"/>
    </xf>
    <xf numFmtId="0" fontId="58" fillId="0" borderId="10" xfId="0" applyFont="1" applyFill="1" applyBorder="1" applyAlignment="1" applyProtection="1">
      <alignment horizontal="center"/>
      <protection locked="0"/>
    </xf>
    <xf numFmtId="0" fontId="55" fillId="35" borderId="10" xfId="0" applyFont="1" applyFill="1" applyBorder="1" applyAlignment="1" applyProtection="1">
      <alignment horizontal="center"/>
      <protection locked="0"/>
    </xf>
    <xf numFmtId="49" fontId="58" fillId="0" borderId="10" xfId="0" applyNumberFormat="1" applyFont="1" applyFill="1" applyBorder="1" applyAlignment="1" applyProtection="1">
      <alignment horizontal="center"/>
      <protection locked="0"/>
    </xf>
    <xf numFmtId="49" fontId="58" fillId="0" borderId="10" xfId="0" applyNumberFormat="1" applyFont="1" applyFill="1" applyBorder="1" applyProtection="1">
      <protection locked="0"/>
    </xf>
    <xf numFmtId="14" fontId="58" fillId="0" borderId="10" xfId="0" applyNumberFormat="1" applyFont="1" applyFill="1" applyBorder="1" applyAlignment="1" applyProtection="1">
      <alignment horizontal="center"/>
      <protection locked="0"/>
    </xf>
    <xf numFmtId="14" fontId="55" fillId="0" borderId="10" xfId="0" applyNumberFormat="1" applyFont="1" applyFill="1" applyBorder="1" applyAlignment="1" applyProtection="1">
      <alignment horizontal="center"/>
      <protection locked="0"/>
    </xf>
    <xf numFmtId="0" fontId="58" fillId="0" borderId="10" xfId="0" applyFont="1" applyFill="1" applyBorder="1" applyAlignment="1" applyProtection="1">
      <alignment horizontal="left"/>
      <protection locked="0"/>
    </xf>
    <xf numFmtId="0" fontId="55" fillId="34" borderId="10" xfId="0" applyFont="1" applyFill="1" applyBorder="1" applyAlignment="1" applyProtection="1">
      <alignment horizontal="center"/>
      <protection locked="0"/>
    </xf>
    <xf numFmtId="2" fontId="55" fillId="34" borderId="10" xfId="0" applyNumberFormat="1" applyFont="1" applyFill="1" applyBorder="1" applyAlignment="1" applyProtection="1">
      <alignment horizontal="center"/>
      <protection locked="0"/>
    </xf>
    <xf numFmtId="0" fontId="59" fillId="34" borderId="10" xfId="0" applyFont="1" applyFill="1" applyBorder="1" applyProtection="1"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35" xfId="0" applyFont="1" applyBorder="1" applyAlignment="1" applyProtection="1">
      <alignment vertical="center" wrapText="1"/>
    </xf>
    <xf numFmtId="0" fontId="2" fillId="0" borderId="35" xfId="0" applyFont="1" applyFill="1" applyBorder="1" applyAlignment="1" applyProtection="1">
      <alignment vertical="center" wrapText="1"/>
    </xf>
    <xf numFmtId="0" fontId="53" fillId="0" borderId="35" xfId="32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vertical="center"/>
    </xf>
    <xf numFmtId="0" fontId="2" fillId="0" borderId="35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vertical="center"/>
    </xf>
    <xf numFmtId="0" fontId="2" fillId="34" borderId="33" xfId="0" applyFont="1" applyFill="1" applyBorder="1" applyAlignment="1" applyProtection="1">
      <alignment horizontal="left" vertical="center"/>
    </xf>
    <xf numFmtId="0" fontId="2" fillId="0" borderId="3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34" xfId="0" applyFont="1" applyBorder="1" applyAlignment="1" applyProtection="1">
      <alignment vertical="center"/>
    </xf>
    <xf numFmtId="0" fontId="2" fillId="0" borderId="52" xfId="0" applyFont="1" applyBorder="1" applyAlignment="1" applyProtection="1">
      <alignment horizontal="center" vertical="center"/>
    </xf>
    <xf numFmtId="0" fontId="2" fillId="24" borderId="31" xfId="0" applyFont="1" applyFill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4" fontId="2" fillId="0" borderId="55" xfId="0" applyNumberFormat="1" applyFont="1" applyFill="1" applyBorder="1" applyAlignment="1" applyProtection="1">
      <alignment horizontal="right" vertical="center"/>
    </xf>
    <xf numFmtId="0" fontId="2" fillId="0" borderId="55" xfId="0" applyFont="1" applyBorder="1" applyAlignment="1" applyProtection="1">
      <alignment horizontal="right" vertical="center"/>
    </xf>
    <xf numFmtId="0" fontId="2" fillId="0" borderId="5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4" fontId="2" fillId="0" borderId="33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 applyProtection="1">
      <alignment horizontal="right" vertical="center"/>
    </xf>
    <xf numFmtId="4" fontId="2" fillId="0" borderId="33" xfId="0" applyNumberFormat="1" applyFont="1" applyBorder="1" applyAlignment="1" applyProtection="1">
      <alignment horizontal="right" vertical="center"/>
    </xf>
    <xf numFmtId="0" fontId="2" fillId="34" borderId="33" xfId="0" applyFont="1" applyFill="1" applyBorder="1" applyAlignment="1" applyProtection="1">
      <alignment horizontal="left" vertical="center" wrapText="1"/>
    </xf>
    <xf numFmtId="4" fontId="41" fillId="0" borderId="10" xfId="0" applyNumberFormat="1" applyFont="1" applyFill="1" applyBorder="1" applyAlignment="1" applyProtection="1">
      <alignment horizontal="right" vertical="center" wrapText="1"/>
    </xf>
    <xf numFmtId="0" fontId="2" fillId="0" borderId="59" xfId="0" applyFont="1" applyBorder="1" applyAlignment="1" applyProtection="1">
      <alignment vertical="center"/>
    </xf>
    <xf numFmtId="0" fontId="2" fillId="0" borderId="6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61" xfId="0" applyFont="1" applyBorder="1" applyAlignment="1" applyProtection="1">
      <alignment horizontal="center" vertical="center"/>
    </xf>
    <xf numFmtId="0" fontId="2" fillId="0" borderId="62" xfId="0" applyFont="1" applyBorder="1" applyAlignment="1" applyProtection="1">
      <alignment horizontal="center" vertical="center"/>
    </xf>
    <xf numFmtId="4" fontId="2" fillId="0" borderId="62" xfId="0" applyNumberFormat="1" applyFont="1" applyBorder="1" applyAlignment="1" applyProtection="1">
      <alignment horizontal="right" vertical="center"/>
    </xf>
    <xf numFmtId="0" fontId="2" fillId="0" borderId="62" xfId="0" applyFont="1" applyBorder="1" applyAlignment="1" applyProtection="1">
      <alignment horizontal="right" vertical="center"/>
    </xf>
    <xf numFmtId="4" fontId="2" fillId="0" borderId="63" xfId="0" applyNumberFormat="1" applyFont="1" applyBorder="1" applyAlignment="1" applyProtection="1">
      <alignment vertical="center"/>
    </xf>
    <xf numFmtId="4" fontId="2" fillId="0" borderId="64" xfId="0" applyNumberFormat="1" applyFont="1" applyBorder="1" applyAlignment="1" applyProtection="1">
      <alignment vertical="center"/>
    </xf>
    <xf numFmtId="4" fontId="2" fillId="0" borderId="51" xfId="0" applyNumberFormat="1" applyFont="1" applyBorder="1" applyAlignment="1" applyProtection="1">
      <alignment horizontal="left" vertical="center"/>
    </xf>
    <xf numFmtId="14" fontId="2" fillId="0" borderId="49" xfId="0" applyNumberFormat="1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0" fontId="41" fillId="0" borderId="10" xfId="0" applyFont="1" applyFill="1" applyBorder="1" applyAlignment="1" applyProtection="1">
      <alignment horizontal="center" vertical="center" wrapText="1"/>
    </xf>
    <xf numFmtId="4" fontId="41" fillId="0" borderId="10" xfId="0" applyNumberFormat="1" applyFont="1" applyFill="1" applyBorder="1" applyProtection="1"/>
    <xf numFmtId="0" fontId="2" fillId="0" borderId="62" xfId="0" applyFont="1" applyBorder="1" applyAlignment="1" applyProtection="1">
      <alignment vertical="center"/>
    </xf>
    <xf numFmtId="9" fontId="41" fillId="0" borderId="10" xfId="0" applyNumberFormat="1" applyFont="1" applyFill="1" applyBorder="1" applyAlignment="1" applyProtection="1">
      <alignment horizontal="center" vertical="center" wrapText="1"/>
    </xf>
    <xf numFmtId="2" fontId="41" fillId="0" borderId="10" xfId="0" applyNumberFormat="1" applyFont="1" applyFill="1" applyBorder="1" applyAlignment="1" applyProtection="1">
      <alignment horizontal="right" vertical="center" wrapText="1"/>
    </xf>
    <xf numFmtId="10" fontId="41" fillId="0" borderId="10" xfId="0" applyNumberFormat="1" applyFont="1" applyFill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</xf>
    <xf numFmtId="0" fontId="41" fillId="0" borderId="10" xfId="0" applyFont="1" applyFill="1" applyBorder="1" applyAlignment="1" applyProtection="1">
      <alignment vertical="center" wrapText="1"/>
    </xf>
    <xf numFmtId="4" fontId="41" fillId="0" borderId="10" xfId="0" applyNumberFormat="1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2" fontId="2" fillId="0" borderId="23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center"/>
    </xf>
    <xf numFmtId="0" fontId="61" fillId="0" borderId="0" xfId="0" applyFont="1" applyAlignment="1" applyProtection="1">
      <alignment vertical="center"/>
    </xf>
    <xf numFmtId="2" fontId="61" fillId="0" borderId="0" xfId="0" applyNumberFormat="1" applyFont="1" applyAlignment="1" applyProtection="1">
      <alignment vertical="center"/>
    </xf>
    <xf numFmtId="4" fontId="61" fillId="0" borderId="0" xfId="0" applyNumberFormat="1" applyFont="1" applyAlignment="1" applyProtection="1">
      <alignment vertical="center"/>
    </xf>
    <xf numFmtId="0" fontId="2" fillId="0" borderId="49" xfId="0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left" vertical="center"/>
      <protection locked="0"/>
    </xf>
    <xf numFmtId="0" fontId="2" fillId="24" borderId="10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/>
    </xf>
    <xf numFmtId="0" fontId="2" fillId="24" borderId="51" xfId="0" applyFont="1" applyFill="1" applyBorder="1" applyAlignment="1" applyProtection="1">
      <alignment horizontal="center" vertical="center"/>
    </xf>
    <xf numFmtId="0" fontId="2" fillId="24" borderId="53" xfId="0" applyFont="1" applyFill="1" applyBorder="1" applyAlignment="1" applyProtection="1">
      <alignment horizontal="center" vertical="center"/>
    </xf>
    <xf numFmtId="0" fontId="2" fillId="24" borderId="32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10" xfId="0" applyBorder="1" applyProtection="1"/>
    <xf numFmtId="0" fontId="0" fillId="0" borderId="23" xfId="0" applyBorder="1" applyProtection="1"/>
    <xf numFmtId="0" fontId="0" fillId="0" borderId="23" xfId="0" applyBorder="1" applyAlignment="1" applyProtection="1">
      <alignment horizontal="right"/>
    </xf>
    <xf numFmtId="0" fontId="0" fillId="0" borderId="23" xfId="0" applyBorder="1" applyAlignment="1" applyProtection="1">
      <alignment horizontal="left"/>
    </xf>
    <xf numFmtId="0" fontId="1" fillId="24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left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34" borderId="33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 wrapText="1"/>
    </xf>
    <xf numFmtId="0" fontId="2" fillId="34" borderId="25" xfId="0" applyFont="1" applyFill="1" applyBorder="1" applyProtection="1">
      <protection locked="0"/>
    </xf>
    <xf numFmtId="0" fontId="37" fillId="0" borderId="10" xfId="0" applyFont="1" applyFill="1" applyBorder="1" applyAlignment="1">
      <alignment horizontal="left" vertical="center" wrapText="1"/>
    </xf>
    <xf numFmtId="166" fontId="2" fillId="0" borderId="32" xfId="0" applyNumberFormat="1" applyFont="1" applyFill="1" applyBorder="1" applyAlignment="1" applyProtection="1">
      <alignment vertical="center"/>
    </xf>
    <xf numFmtId="0" fontId="2" fillId="34" borderId="0" xfId="0" applyFont="1" applyFill="1" applyBorder="1" applyProtection="1">
      <protection locked="0"/>
    </xf>
    <xf numFmtId="0" fontId="2" fillId="0" borderId="90" xfId="0" applyFont="1" applyFill="1" applyBorder="1" applyAlignment="1" applyProtection="1">
      <alignment horizontal="center" vertical="center" wrapText="1"/>
    </xf>
    <xf numFmtId="0" fontId="2" fillId="0" borderId="91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center" vertical="center" wrapText="1"/>
    </xf>
    <xf numFmtId="0" fontId="2" fillId="0" borderId="94" xfId="0" applyFont="1" applyFill="1" applyBorder="1" applyAlignment="1" applyProtection="1">
      <alignment horizontal="center" vertical="center" wrapText="1"/>
    </xf>
    <xf numFmtId="0" fontId="2" fillId="0" borderId="95" xfId="0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/>
    <xf numFmtId="2" fontId="2" fillId="0" borderId="23" xfId="0" applyNumberFormat="1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vertical="center"/>
    </xf>
    <xf numFmtId="2" fontId="4" fillId="0" borderId="23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5" fillId="0" borderId="10" xfId="0" applyFont="1" applyFill="1" applyBorder="1" applyAlignment="1">
      <alignment horizontal="center"/>
    </xf>
    <xf numFmtId="0" fontId="60" fillId="0" borderId="17" xfId="0" applyFont="1" applyFill="1" applyBorder="1" applyAlignment="1" applyProtection="1">
      <alignment horizontal="right"/>
      <protection locked="0"/>
    </xf>
    <xf numFmtId="0" fontId="60" fillId="0" borderId="16" xfId="0" applyFont="1" applyFill="1" applyBorder="1" applyAlignment="1" applyProtection="1">
      <alignment horizontal="right"/>
      <protection locked="0"/>
    </xf>
    <xf numFmtId="0" fontId="60" fillId="0" borderId="66" xfId="0" applyFont="1" applyFill="1" applyBorder="1" applyAlignment="1">
      <alignment horizontal="left"/>
    </xf>
    <xf numFmtId="0" fontId="60" fillId="0" borderId="60" xfId="0" applyFont="1" applyFill="1" applyBorder="1" applyAlignment="1">
      <alignment horizontal="left"/>
    </xf>
    <xf numFmtId="0" fontId="55" fillId="0" borderId="67" xfId="0" applyFont="1" applyFill="1" applyBorder="1" applyAlignment="1">
      <alignment horizontal="center"/>
    </xf>
    <xf numFmtId="0" fontId="55" fillId="0" borderId="23" xfId="0" applyFont="1" applyFill="1" applyBorder="1" applyAlignment="1">
      <alignment horizontal="center"/>
    </xf>
    <xf numFmtId="0" fontId="55" fillId="0" borderId="17" xfId="0" applyFont="1" applyFill="1" applyBorder="1" applyAlignment="1">
      <alignment horizontal="right"/>
    </xf>
    <xf numFmtId="0" fontId="55" fillId="0" borderId="15" xfId="0" applyFont="1" applyFill="1" applyBorder="1" applyAlignment="1">
      <alignment horizontal="right"/>
    </xf>
    <xf numFmtId="0" fontId="5" fillId="0" borderId="0" xfId="0" applyFont="1" applyAlignment="1" applyProtection="1">
      <alignment horizontal="center" vertical="center"/>
    </xf>
    <xf numFmtId="0" fontId="2" fillId="0" borderId="49" xfId="0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left" vertical="center"/>
      <protection locked="0"/>
    </xf>
    <xf numFmtId="0" fontId="2" fillId="34" borderId="36" xfId="0" applyFont="1" applyFill="1" applyBorder="1" applyAlignment="1" applyProtection="1">
      <alignment horizontal="center" vertical="center" wrapText="1"/>
      <protection locked="0"/>
    </xf>
    <xf numFmtId="0" fontId="2" fillId="34" borderId="23" xfId="0" applyFont="1" applyFill="1" applyBorder="1" applyAlignment="1" applyProtection="1">
      <alignment horizontal="center" vertical="center" wrapText="1"/>
      <protection locked="0"/>
    </xf>
    <xf numFmtId="0" fontId="2" fillId="34" borderId="68" xfId="0" applyFont="1" applyFill="1" applyBorder="1" applyAlignment="1" applyProtection="1">
      <alignment horizontal="center" vertical="center" wrapText="1"/>
      <protection locked="0"/>
    </xf>
    <xf numFmtId="0" fontId="2" fillId="34" borderId="31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/>
      <protection locked="0"/>
    </xf>
    <xf numFmtId="0" fontId="2" fillId="0" borderId="75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 wrapText="1"/>
      <protection locked="0"/>
    </xf>
    <xf numFmtId="0" fontId="2" fillId="0" borderId="75" xfId="0" applyFont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24" borderId="48" xfId="0" applyFont="1" applyFill="1" applyBorder="1" applyAlignment="1" applyProtection="1">
      <alignment horizontal="center" vertical="center" wrapText="1"/>
    </xf>
    <xf numFmtId="0" fontId="2" fillId="24" borderId="33" xfId="0" applyFont="1" applyFill="1" applyBorder="1" applyAlignment="1" applyProtection="1">
      <alignment horizontal="center" vertical="center"/>
    </xf>
    <xf numFmtId="0" fontId="2" fillId="24" borderId="51" xfId="0" applyFont="1" applyFill="1" applyBorder="1" applyAlignment="1" applyProtection="1">
      <alignment horizontal="center" vertical="center"/>
    </xf>
    <xf numFmtId="0" fontId="2" fillId="24" borderId="50" xfId="0" applyFont="1" applyFill="1" applyBorder="1" applyAlignment="1" applyProtection="1">
      <alignment horizontal="center" vertical="center" wrapText="1"/>
    </xf>
    <xf numFmtId="0" fontId="2" fillId="24" borderId="23" xfId="0" applyFont="1" applyFill="1" applyBorder="1" applyAlignment="1" applyProtection="1">
      <alignment horizontal="center" vertical="center"/>
    </xf>
    <xf numFmtId="0" fontId="2" fillId="24" borderId="37" xfId="0" applyFont="1" applyFill="1" applyBorder="1" applyAlignment="1" applyProtection="1">
      <alignment horizontal="center" vertical="center"/>
    </xf>
    <xf numFmtId="0" fontId="2" fillId="24" borderId="15" xfId="0" applyFont="1" applyFill="1" applyBorder="1" applyAlignment="1" applyProtection="1">
      <alignment horizontal="center" vertical="center"/>
    </xf>
    <xf numFmtId="0" fontId="2" fillId="24" borderId="10" xfId="0" applyFont="1" applyFill="1" applyBorder="1" applyAlignment="1" applyProtection="1">
      <alignment horizontal="center" vertical="center"/>
    </xf>
    <xf numFmtId="0" fontId="2" fillId="24" borderId="57" xfId="0" applyFont="1" applyFill="1" applyBorder="1" applyAlignment="1" applyProtection="1">
      <alignment horizontal="center" vertical="center"/>
    </xf>
    <xf numFmtId="0" fontId="2" fillId="24" borderId="50" xfId="0" applyFont="1" applyFill="1" applyBorder="1" applyAlignment="1" applyProtection="1">
      <alignment horizontal="center" vertical="center"/>
    </xf>
    <xf numFmtId="0" fontId="2" fillId="24" borderId="53" xfId="0" applyFont="1" applyFill="1" applyBorder="1" applyAlignment="1" applyProtection="1">
      <alignment horizontal="center" vertical="center"/>
    </xf>
    <xf numFmtId="0" fontId="2" fillId="24" borderId="32" xfId="0" applyFont="1" applyFill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24" borderId="54" xfId="0" applyFont="1" applyFill="1" applyBorder="1" applyAlignment="1" applyProtection="1">
      <alignment horizontal="center" vertical="center" wrapText="1"/>
    </xf>
    <xf numFmtId="0" fontId="2" fillId="24" borderId="56" xfId="0" applyFont="1" applyFill="1" applyBorder="1" applyAlignment="1" applyProtection="1">
      <alignment horizontal="center" vertical="center" wrapText="1"/>
    </xf>
    <xf numFmtId="0" fontId="2" fillId="24" borderId="77" xfId="0" applyFont="1" applyFill="1" applyBorder="1" applyAlignment="1" applyProtection="1">
      <alignment horizontal="center" vertical="center" wrapText="1"/>
    </xf>
    <xf numFmtId="0" fontId="2" fillId="0" borderId="78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79" xfId="0" applyFont="1" applyBorder="1" applyAlignment="1" applyProtection="1">
      <alignment horizontal="left" vertical="center"/>
      <protection locked="0"/>
    </xf>
    <xf numFmtId="0" fontId="2" fillId="0" borderId="80" xfId="0" applyFont="1" applyBorder="1" applyAlignment="1" applyProtection="1">
      <alignment horizontal="left" vertical="center"/>
      <protection locked="0"/>
    </xf>
    <xf numFmtId="14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1" fontId="2" fillId="0" borderId="76" xfId="0" applyNumberFormat="1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24" borderId="74" xfId="0" applyFont="1" applyFill="1" applyBorder="1" applyAlignment="1" applyProtection="1">
      <alignment horizontal="center" vertical="center"/>
    </xf>
    <xf numFmtId="0" fontId="2" fillId="24" borderId="75" xfId="0" applyFont="1" applyFill="1" applyBorder="1" applyAlignment="1" applyProtection="1">
      <alignment horizontal="center" vertical="center"/>
    </xf>
    <xf numFmtId="0" fontId="2" fillId="24" borderId="30" xfId="0" applyFont="1" applyFill="1" applyBorder="1" applyAlignment="1" applyProtection="1">
      <alignment horizontal="center" vertical="center"/>
    </xf>
    <xf numFmtId="4" fontId="2" fillId="0" borderId="10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24" borderId="17" xfId="0" applyFont="1" applyFill="1" applyBorder="1" applyAlignment="1" applyProtection="1">
      <alignment horizontal="center" vertical="center"/>
    </xf>
    <xf numFmtId="0" fontId="2" fillId="24" borderId="16" xfId="0" applyFont="1" applyFill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24" borderId="71" xfId="0" applyFont="1" applyFill="1" applyBorder="1" applyAlignment="1" applyProtection="1">
      <alignment horizontal="center" vertical="center"/>
    </xf>
    <xf numFmtId="0" fontId="2" fillId="24" borderId="41" xfId="0" applyFont="1" applyFill="1" applyBorder="1" applyAlignment="1" applyProtection="1">
      <alignment horizontal="center" vertical="center"/>
    </xf>
    <xf numFmtId="0" fontId="2" fillId="24" borderId="28" xfId="0" applyFont="1" applyFill="1" applyBorder="1" applyAlignment="1" applyProtection="1">
      <alignment horizontal="center" vertical="center"/>
    </xf>
    <xf numFmtId="0" fontId="2" fillId="24" borderId="0" xfId="0" applyFont="1" applyFill="1" applyBorder="1" applyAlignment="1" applyProtection="1">
      <alignment horizontal="center" vertical="center"/>
    </xf>
    <xf numFmtId="0" fontId="2" fillId="24" borderId="49" xfId="0" applyFont="1" applyFill="1" applyBorder="1" applyAlignment="1" applyProtection="1">
      <alignment horizontal="center" vertical="center"/>
    </xf>
    <xf numFmtId="0" fontId="2" fillId="24" borderId="72" xfId="0" applyFont="1" applyFill="1" applyBorder="1" applyAlignment="1" applyProtection="1">
      <alignment horizontal="center" vertical="center"/>
    </xf>
    <xf numFmtId="0" fontId="2" fillId="24" borderId="48" xfId="0" applyFont="1" applyFill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center" vertical="center"/>
    </xf>
    <xf numFmtId="0" fontId="2" fillId="24" borderId="58" xfId="0" applyFont="1" applyFill="1" applyBorder="1" applyAlignment="1" applyProtection="1">
      <alignment horizontal="center" vertical="center"/>
    </xf>
    <xf numFmtId="0" fontId="2" fillId="24" borderId="73" xfId="0" applyFont="1" applyFill="1" applyBorder="1" applyAlignment="1" applyProtection="1">
      <alignment horizontal="center" vertical="center"/>
    </xf>
    <xf numFmtId="0" fontId="2" fillId="24" borderId="75" xfId="0" applyFont="1" applyFill="1" applyBorder="1" applyAlignment="1" applyProtection="1">
      <alignment horizontal="center" vertical="center" wrapText="1"/>
    </xf>
    <xf numFmtId="0" fontId="2" fillId="24" borderId="30" xfId="0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24" borderId="74" xfId="0" applyFont="1" applyFill="1" applyBorder="1" applyAlignment="1" applyProtection="1">
      <alignment horizontal="center" vertical="center" wrapText="1"/>
    </xf>
    <xf numFmtId="0" fontId="2" fillId="24" borderId="58" xfId="0" applyFont="1" applyFill="1" applyBorder="1" applyAlignment="1" applyProtection="1">
      <alignment horizontal="center" vertical="center" wrapText="1"/>
    </xf>
    <xf numFmtId="0" fontId="2" fillId="24" borderId="10" xfId="0" applyFont="1" applyFill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/>
    </xf>
    <xf numFmtId="0" fontId="2" fillId="32" borderId="0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/>
    </xf>
    <xf numFmtId="0" fontId="5" fillId="0" borderId="39" xfId="0" applyFont="1" applyFill="1" applyBorder="1" applyAlignment="1" applyProtection="1">
      <alignment horizontal="center"/>
    </xf>
    <xf numFmtId="0" fontId="5" fillId="0" borderId="84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74" xfId="0" applyFont="1" applyFill="1" applyBorder="1" applyAlignment="1" applyProtection="1">
      <alignment horizontal="center" vertical="center" wrapText="1"/>
    </xf>
    <xf numFmtId="0" fontId="2" fillId="0" borderId="68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75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 textRotation="90" wrapText="1"/>
    </xf>
    <xf numFmtId="0" fontId="2" fillId="0" borderId="39" xfId="0" applyFont="1" applyFill="1" applyBorder="1" applyAlignment="1" applyProtection="1">
      <alignment horizontal="center" vertical="center" textRotation="90" wrapText="1"/>
    </xf>
    <xf numFmtId="0" fontId="2" fillId="0" borderId="24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/>
    </xf>
    <xf numFmtId="0" fontId="42" fillId="0" borderId="35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36" borderId="10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81" xfId="0" applyFont="1" applyFill="1" applyBorder="1" applyAlignment="1" applyProtection="1">
      <alignment horizontal="left" vertical="center"/>
    </xf>
    <xf numFmtId="0" fontId="2" fillId="0" borderId="82" xfId="0" applyFont="1" applyFill="1" applyBorder="1" applyAlignment="1" applyProtection="1">
      <alignment horizontal="left" vertical="center"/>
    </xf>
    <xf numFmtId="0" fontId="2" fillId="0" borderId="34" xfId="0" applyFont="1" applyFill="1" applyBorder="1" applyAlignment="1" applyProtection="1">
      <alignment horizontal="left" vertical="center"/>
    </xf>
    <xf numFmtId="0" fontId="2" fillId="0" borderId="83" xfId="0" applyFont="1" applyFill="1" applyBorder="1" applyAlignment="1" applyProtection="1">
      <alignment horizontal="left" vertical="center"/>
    </xf>
    <xf numFmtId="0" fontId="2" fillId="0" borderId="50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99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/>
    </xf>
    <xf numFmtId="0" fontId="44" fillId="0" borderId="0" xfId="0" applyFont="1" applyFill="1" applyAlignment="1" applyProtection="1">
      <alignment horizontal="center"/>
    </xf>
    <xf numFmtId="0" fontId="2" fillId="0" borderId="92" xfId="0" applyFont="1" applyFill="1" applyBorder="1" applyAlignment="1" applyProtection="1">
      <alignment horizontal="center" vertical="center" wrapText="1"/>
    </xf>
    <xf numFmtId="0" fontId="2" fillId="0" borderId="89" xfId="0" applyFont="1" applyFill="1" applyBorder="1" applyAlignment="1" applyProtection="1">
      <alignment horizontal="center" vertical="center" wrapText="1"/>
    </xf>
    <xf numFmtId="0" fontId="2" fillId="0" borderId="96" xfId="0" applyFont="1" applyFill="1" applyBorder="1" applyAlignment="1" applyProtection="1">
      <alignment horizontal="center" vertical="center"/>
    </xf>
    <xf numFmtId="0" fontId="2" fillId="0" borderId="97" xfId="0" applyFont="1" applyFill="1" applyBorder="1" applyAlignment="1" applyProtection="1">
      <alignment horizontal="center" vertical="center"/>
    </xf>
    <xf numFmtId="0" fontId="2" fillId="0" borderId="98" xfId="0" applyFont="1" applyFill="1" applyBorder="1" applyAlignment="1" applyProtection="1">
      <alignment horizontal="center" vertical="center"/>
    </xf>
    <xf numFmtId="0" fontId="37" fillId="0" borderId="1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left" wrapText="1"/>
    </xf>
    <xf numFmtId="0" fontId="48" fillId="0" borderId="15" xfId="0" applyFont="1" applyFill="1" applyBorder="1" applyAlignment="1">
      <alignment horizontal="left" wrapText="1"/>
    </xf>
    <xf numFmtId="49" fontId="37" fillId="0" borderId="10" xfId="0" applyNumberFormat="1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/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2" fillId="0" borderId="24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40" fillId="0" borderId="10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1" fillId="0" borderId="10" xfId="0" applyFont="1" applyBorder="1" applyAlignment="1"/>
    <xf numFmtId="0" fontId="40" fillId="0" borderId="10" xfId="0" applyNumberFormat="1" applyFont="1" applyBorder="1" applyAlignment="1">
      <alignment horizontal="left"/>
    </xf>
    <xf numFmtId="0" fontId="2" fillId="0" borderId="2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8" fillId="0" borderId="0" xfId="0" applyFont="1" applyAlignment="1" applyProtection="1">
      <alignment horizontal="center"/>
    </xf>
    <xf numFmtId="0" fontId="0" fillId="0" borderId="60" xfId="0" applyBorder="1" applyAlignment="1" applyProtection="1">
      <alignment horizontal="right" vertical="center"/>
    </xf>
    <xf numFmtId="0" fontId="0" fillId="0" borderId="24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/>
    </xf>
    <xf numFmtId="0" fontId="1" fillId="25" borderId="0" xfId="0" applyFont="1" applyFill="1" applyBorder="1" applyAlignment="1">
      <alignment horizontal="center" vertical="center"/>
    </xf>
    <xf numFmtId="0" fontId="1" fillId="25" borderId="18" xfId="0" applyFont="1" applyFill="1" applyBorder="1" applyAlignment="1">
      <alignment horizontal="center" vertical="center"/>
    </xf>
    <xf numFmtId="0" fontId="23" fillId="27" borderId="85" xfId="0" applyFont="1" applyFill="1" applyBorder="1" applyAlignment="1">
      <alignment horizontal="center" vertical="center" wrapText="1"/>
    </xf>
    <xf numFmtId="0" fontId="23" fillId="27" borderId="86" xfId="0" applyFont="1" applyFill="1" applyBorder="1" applyAlignment="1">
      <alignment horizontal="center" vertical="center" wrapText="1"/>
    </xf>
    <xf numFmtId="0" fontId="23" fillId="27" borderId="87" xfId="0" applyFont="1" applyFill="1" applyBorder="1" applyAlignment="1">
      <alignment horizontal="center" vertical="center" wrapText="1"/>
    </xf>
    <xf numFmtId="0" fontId="25" fillId="27" borderId="14" xfId="0" applyFont="1" applyFill="1" applyBorder="1" applyAlignment="1">
      <alignment horizontal="center" vertical="center" wrapText="1"/>
    </xf>
    <xf numFmtId="0" fontId="25" fillId="27" borderId="16" xfId="0" applyFont="1" applyFill="1" applyBorder="1" applyAlignment="1">
      <alignment horizontal="center" vertical="center" wrapText="1"/>
    </xf>
    <xf numFmtId="0" fontId="25" fillId="27" borderId="15" xfId="0" applyFont="1" applyFill="1" applyBorder="1" applyAlignment="1">
      <alignment horizontal="center" vertical="center" wrapText="1"/>
    </xf>
    <xf numFmtId="0" fontId="26" fillId="30" borderId="10" xfId="0" applyFont="1" applyFill="1" applyBorder="1" applyAlignment="1">
      <alignment horizontal="center" vertical="center"/>
    </xf>
    <xf numFmtId="0" fontId="1" fillId="28" borderId="10" xfId="0" applyFont="1" applyFill="1" applyBorder="1" applyAlignment="1">
      <alignment horizontal="left" vertical="center"/>
    </xf>
    <xf numFmtId="0" fontId="3" fillId="30" borderId="10" xfId="0" applyFont="1" applyFill="1" applyBorder="1" applyAlignment="1">
      <alignment horizontal="center" vertical="center" wrapText="1"/>
    </xf>
    <xf numFmtId="0" fontId="3" fillId="30" borderId="24" xfId="0" applyFont="1" applyFill="1" applyBorder="1" applyAlignment="1">
      <alignment horizontal="center" vertical="center" wrapText="1"/>
    </xf>
    <xf numFmtId="0" fontId="3" fillId="30" borderId="46" xfId="0" applyFont="1" applyFill="1" applyBorder="1" applyAlignment="1">
      <alignment horizontal="center" vertical="center" wrapText="1"/>
    </xf>
    <xf numFmtId="0" fontId="3" fillId="30" borderId="23" xfId="0" applyFont="1" applyFill="1" applyBorder="1" applyAlignment="1">
      <alignment horizontal="center" vertical="center" wrapText="1"/>
    </xf>
    <xf numFmtId="0" fontId="1" fillId="28" borderId="16" xfId="0" applyFont="1" applyFill="1" applyBorder="1" applyAlignment="1">
      <alignment horizontal="left" vertical="center"/>
    </xf>
    <xf numFmtId="0" fontId="29" fillId="27" borderId="88" xfId="0" applyFont="1" applyFill="1" applyBorder="1" applyAlignment="1">
      <alignment horizontal="center" vertical="center" textRotation="90"/>
    </xf>
  </cellXfs>
  <cellStyles count="44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7" builtinId="21" customBuiltin="1"/>
    <cellStyle name="Giriş" xfId="28" builtinId="20" customBuiltin="1"/>
    <cellStyle name="Hesaplama" xfId="29" builtinId="22" customBuiltin="1"/>
    <cellStyle name="İşaretli Hücre" xfId="30" builtinId="23" customBuiltin="1"/>
    <cellStyle name="İyi" xfId="31" builtinId="26" customBuiltin="1"/>
    <cellStyle name="Köprü" xfId="32" builtinId="8"/>
    <cellStyle name="Kötü" xfId="33" builtinId="27" customBuiltin="1"/>
    <cellStyle name="Normal" xfId="0" builtinId="0"/>
    <cellStyle name="Not" xfId="34" builtinId="10" customBuiltin="1"/>
    <cellStyle name="Nötr" xfId="35" builtinId="28" customBuiltin="1"/>
    <cellStyle name="Toplam" xfId="36" builtinId="25" customBuiltin="1"/>
    <cellStyle name="Uyarı Metni" xfId="37" builtinId="11" customBuiltin="1"/>
    <cellStyle name="Virgül" xfId="26" builtinId="3"/>
    <cellStyle name="Vurgu1" xfId="38" builtinId="29" customBuiltin="1"/>
    <cellStyle name="Vurgu2" xfId="39" builtinId="33" customBuiltin="1"/>
    <cellStyle name="Vurgu3" xfId="40" builtinId="37" customBuiltin="1"/>
    <cellStyle name="Vurgu4" xfId="41" builtinId="41" customBuiltin="1"/>
    <cellStyle name="Vurgu5" xfId="42" builtinId="45" customBuiltin="1"/>
    <cellStyle name="Vurgu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activeCell="A34" sqref="A34"/>
    </sheetView>
  </sheetViews>
  <sheetFormatPr defaultRowHeight="12.75"/>
  <cols>
    <col min="1" max="1" width="42.85546875" customWidth="1"/>
    <col min="2" max="2" width="49.5703125" bestFit="1" customWidth="1"/>
    <col min="3" max="3" width="10.42578125" bestFit="1" customWidth="1"/>
    <col min="4" max="4" width="13.85546875" customWidth="1"/>
  </cols>
  <sheetData>
    <row r="1" spans="1:8">
      <c r="A1" s="147" t="s">
        <v>194</v>
      </c>
      <c r="B1" s="147"/>
    </row>
    <row r="3" spans="1:8">
      <c r="A3" s="148"/>
    </row>
    <row r="5" spans="1:8">
      <c r="A5" t="s">
        <v>193</v>
      </c>
    </row>
    <row r="7" spans="1:8">
      <c r="A7" t="s">
        <v>172</v>
      </c>
    </row>
    <row r="8" spans="1:8">
      <c r="A8" s="97"/>
    </row>
    <row r="9" spans="1:8">
      <c r="A9" t="s">
        <v>158</v>
      </c>
    </row>
    <row r="11" spans="1:8">
      <c r="A11" t="s">
        <v>159</v>
      </c>
    </row>
    <row r="13" spans="1:8">
      <c r="A13" s="100" t="s">
        <v>189</v>
      </c>
      <c r="B13" s="100"/>
      <c r="C13" s="100"/>
      <c r="D13" s="100"/>
      <c r="E13" s="100"/>
      <c r="F13" s="100"/>
      <c r="G13" s="100"/>
      <c r="H13" s="100"/>
    </row>
    <row r="15" spans="1:8">
      <c r="A15" t="s">
        <v>190</v>
      </c>
    </row>
    <row r="17" spans="1:3">
      <c r="A17" t="s">
        <v>191</v>
      </c>
    </row>
    <row r="19" spans="1:3">
      <c r="A19" t="s">
        <v>192</v>
      </c>
    </row>
    <row r="21" spans="1:3">
      <c r="A21" t="s">
        <v>211</v>
      </c>
    </row>
    <row r="23" spans="1:3">
      <c r="A23" t="s">
        <v>212</v>
      </c>
    </row>
    <row r="25" spans="1:3">
      <c r="A25" s="102" t="s">
        <v>187</v>
      </c>
    </row>
    <row r="26" spans="1:3">
      <c r="A26" s="101" t="s">
        <v>174</v>
      </c>
      <c r="B26" s="101" t="s">
        <v>175</v>
      </c>
      <c r="C26" s="101" t="s">
        <v>176</v>
      </c>
    </row>
    <row r="27" spans="1:3">
      <c r="A27" s="1" t="s">
        <v>177</v>
      </c>
      <c r="B27" s="1" t="s">
        <v>182</v>
      </c>
      <c r="C27" s="1">
        <v>54153</v>
      </c>
    </row>
    <row r="28" spans="1:3">
      <c r="A28" s="1" t="s">
        <v>178</v>
      </c>
      <c r="B28" s="1" t="s">
        <v>183</v>
      </c>
      <c r="C28" s="1">
        <v>54153</v>
      </c>
    </row>
    <row r="29" spans="1:3">
      <c r="A29" s="1" t="s">
        <v>179</v>
      </c>
      <c r="B29" s="1" t="s">
        <v>184</v>
      </c>
      <c r="C29" s="1">
        <v>54153</v>
      </c>
    </row>
    <row r="30" spans="1:3">
      <c r="A30" s="1" t="s">
        <v>181</v>
      </c>
      <c r="B30" s="1" t="s">
        <v>185</v>
      </c>
      <c r="C30" s="1">
        <v>54153</v>
      </c>
    </row>
    <row r="31" spans="1:3">
      <c r="A31" s="1" t="s">
        <v>180</v>
      </c>
      <c r="B31" s="1" t="s">
        <v>186</v>
      </c>
      <c r="C31" s="1">
        <v>54153</v>
      </c>
    </row>
    <row r="34" spans="1:3">
      <c r="A34" s="1" t="s">
        <v>196</v>
      </c>
      <c r="B34" s="2" t="s">
        <v>197</v>
      </c>
      <c r="C34" s="2" t="s">
        <v>198</v>
      </c>
    </row>
    <row r="35" spans="1:3">
      <c r="A35" s="1" t="s">
        <v>195</v>
      </c>
      <c r="B35" s="2">
        <v>2</v>
      </c>
      <c r="C35" s="2">
        <v>1</v>
      </c>
    </row>
    <row r="36" spans="1:3">
      <c r="A36" s="1" t="s">
        <v>199</v>
      </c>
      <c r="B36" s="2">
        <v>1</v>
      </c>
      <c r="C36" s="2">
        <v>1</v>
      </c>
    </row>
    <row r="37" spans="1:3">
      <c r="A37" s="1" t="s">
        <v>64</v>
      </c>
      <c r="B37" s="2">
        <v>1</v>
      </c>
      <c r="C37" s="2">
        <v>1</v>
      </c>
    </row>
    <row r="38" spans="1:3">
      <c r="A38" s="1" t="s">
        <v>200</v>
      </c>
      <c r="B38" s="2">
        <v>1</v>
      </c>
      <c r="C38" s="2">
        <v>1</v>
      </c>
    </row>
    <row r="39" spans="1:3">
      <c r="A39" s="1" t="s">
        <v>201</v>
      </c>
      <c r="B39" s="2">
        <v>1</v>
      </c>
      <c r="C39" s="2">
        <v>1</v>
      </c>
    </row>
    <row r="40" spans="1:3">
      <c r="A40" s="1" t="s">
        <v>202</v>
      </c>
      <c r="B40" s="2">
        <v>2</v>
      </c>
      <c r="C40" s="2">
        <v>1</v>
      </c>
    </row>
    <row r="41" spans="1:3">
      <c r="A41" s="1" t="s">
        <v>203</v>
      </c>
      <c r="B41" s="2">
        <v>2</v>
      </c>
      <c r="C41" s="2">
        <v>1</v>
      </c>
    </row>
    <row r="42" spans="1:3">
      <c r="A42" s="1" t="s">
        <v>210</v>
      </c>
      <c r="B42" s="225">
        <v>1</v>
      </c>
      <c r="C42" s="225">
        <v>1</v>
      </c>
    </row>
    <row r="43" spans="1:3">
      <c r="A43" s="1" t="s">
        <v>204</v>
      </c>
      <c r="B43" s="2">
        <v>2</v>
      </c>
      <c r="C43" s="2">
        <v>1</v>
      </c>
    </row>
    <row r="44" spans="1:3">
      <c r="A44" s="155" t="s">
        <v>205</v>
      </c>
    </row>
    <row r="45" spans="1:3">
      <c r="A45" s="155" t="s">
        <v>206</v>
      </c>
    </row>
    <row r="46" spans="1:3">
      <c r="A46" s="155" t="s">
        <v>217</v>
      </c>
    </row>
    <row r="47" spans="1:3">
      <c r="A47" s="100" t="s">
        <v>207</v>
      </c>
    </row>
  </sheetData>
  <sheetProtection password="CEE9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topLeftCell="A8" zoomScale="85" zoomScaleNormal="85" workbookViewId="0">
      <selection activeCell="C14" sqref="C14"/>
    </sheetView>
  </sheetViews>
  <sheetFormatPr defaultRowHeight="14.25"/>
  <cols>
    <col min="1" max="1" width="9.7109375" style="132" customWidth="1"/>
    <col min="2" max="2" width="26.140625" style="132" bestFit="1" customWidth="1"/>
    <col min="3" max="3" width="16" style="132" customWidth="1"/>
    <col min="4" max="5" width="9" style="132" customWidth="1"/>
    <col min="6" max="6" width="9" style="133" customWidth="1"/>
    <col min="7" max="7" width="10.28515625" style="133" customWidth="1"/>
    <col min="8" max="8" width="18.140625" style="133" customWidth="1"/>
    <col min="9" max="9" width="29.140625" style="133" customWidth="1"/>
    <col min="10" max="10" width="39.28515625" style="132" customWidth="1"/>
    <col min="11" max="11" width="13.42578125" style="132" customWidth="1"/>
    <col min="12" max="12" width="12" style="132" customWidth="1"/>
    <col min="13" max="13" width="0" style="132" hidden="1" customWidth="1"/>
    <col min="14" max="16384" width="9.140625" style="132"/>
  </cols>
  <sheetData>
    <row r="1" spans="1:15" hidden="1"/>
    <row r="2" spans="1:15" hidden="1"/>
    <row r="3" spans="1:15" hidden="1"/>
    <row r="4" spans="1:15" hidden="1">
      <c r="A4" s="133"/>
      <c r="B4" s="133"/>
      <c r="C4" s="133"/>
      <c r="D4" s="133"/>
      <c r="E4" s="133"/>
    </row>
    <row r="5" spans="1:15" hidden="1"/>
    <row r="6" spans="1:15" hidden="1"/>
    <row r="7" spans="1:15" hidden="1">
      <c r="A7" s="134" t="s">
        <v>83</v>
      </c>
      <c r="B7" s="135" t="s">
        <v>0</v>
      </c>
      <c r="C7" s="135" t="s">
        <v>1</v>
      </c>
      <c r="D7" s="135"/>
      <c r="E7" s="135"/>
      <c r="F7" s="136" t="s">
        <v>3</v>
      </c>
      <c r="G7" s="136"/>
      <c r="H7" s="136" t="s">
        <v>4</v>
      </c>
      <c r="I7" s="136" t="s">
        <v>2</v>
      </c>
      <c r="J7" s="137" t="s">
        <v>5</v>
      </c>
    </row>
    <row r="8" spans="1:15" ht="0.75" customHeight="1">
      <c r="A8" s="138"/>
      <c r="B8" s="139"/>
      <c r="C8" s="139"/>
      <c r="D8" s="139"/>
      <c r="E8" s="139"/>
      <c r="F8" s="140"/>
      <c r="G8" s="140"/>
      <c r="H8" s="140"/>
      <c r="I8" s="140"/>
      <c r="J8" s="141"/>
    </row>
    <row r="9" spans="1:15" hidden="1">
      <c r="A9" s="138"/>
      <c r="B9" s="139"/>
      <c r="C9" s="139"/>
      <c r="D9" s="139"/>
      <c r="E9" s="139"/>
      <c r="F9" s="140"/>
      <c r="G9" s="140"/>
      <c r="H9" s="140"/>
      <c r="I9" s="140"/>
      <c r="J9" s="141"/>
    </row>
    <row r="10" spans="1:15" ht="17.25" hidden="1" customHeight="1">
      <c r="A10" s="138"/>
      <c r="B10" s="139"/>
      <c r="C10" s="139"/>
      <c r="D10" s="139"/>
      <c r="E10" s="139"/>
      <c r="F10" s="140"/>
      <c r="G10" s="140"/>
      <c r="H10" s="140"/>
      <c r="I10" s="140"/>
      <c r="J10" s="141"/>
    </row>
    <row r="11" spans="1:15" ht="17.25" customHeight="1">
      <c r="A11" s="283"/>
      <c r="B11" s="279" t="s">
        <v>208</v>
      </c>
      <c r="C11" s="280"/>
      <c r="D11" s="280"/>
      <c r="E11" s="280"/>
      <c r="F11" s="280"/>
      <c r="G11" s="280"/>
      <c r="H11" s="280"/>
      <c r="I11" s="281" t="s">
        <v>148</v>
      </c>
      <c r="J11" s="281"/>
      <c r="K11" s="281"/>
      <c r="L11" s="282"/>
      <c r="M11" s="132" t="s">
        <v>98</v>
      </c>
    </row>
    <row r="12" spans="1:15" ht="17.25" customHeight="1">
      <c r="A12" s="284"/>
      <c r="B12" s="142" t="s">
        <v>146</v>
      </c>
      <c r="C12" s="170">
        <v>0.146061</v>
      </c>
      <c r="D12" s="142"/>
      <c r="E12" s="142"/>
      <c r="F12" s="278" t="s">
        <v>147</v>
      </c>
      <c r="G12" s="278"/>
      <c r="H12" s="169">
        <v>2943</v>
      </c>
      <c r="I12" s="285" t="s">
        <v>130</v>
      </c>
      <c r="J12" s="286"/>
      <c r="K12" s="168" t="s">
        <v>173</v>
      </c>
      <c r="L12" s="168">
        <v>2016</v>
      </c>
      <c r="M12" s="132" t="s">
        <v>104</v>
      </c>
    </row>
    <row r="13" spans="1:15" ht="34.5" customHeight="1">
      <c r="A13" s="143" t="s">
        <v>84</v>
      </c>
      <c r="B13" s="143" t="s">
        <v>0</v>
      </c>
      <c r="C13" s="143" t="s">
        <v>85</v>
      </c>
      <c r="D13" s="144" t="s">
        <v>224</v>
      </c>
      <c r="E13" s="144" t="s">
        <v>223</v>
      </c>
      <c r="F13" s="157" t="s">
        <v>128</v>
      </c>
      <c r="G13" s="143" t="s">
        <v>142</v>
      </c>
      <c r="H13" s="143" t="s">
        <v>139</v>
      </c>
      <c r="I13" s="143" t="s">
        <v>86</v>
      </c>
      <c r="J13" s="143" t="s">
        <v>87</v>
      </c>
      <c r="K13" s="143" t="s">
        <v>88</v>
      </c>
      <c r="L13" s="143" t="s">
        <v>89</v>
      </c>
      <c r="M13" s="132" t="s">
        <v>106</v>
      </c>
    </row>
    <row r="14" spans="1:15" ht="15">
      <c r="A14" s="156">
        <v>1</v>
      </c>
      <c r="B14" s="160"/>
      <c r="C14" s="161"/>
      <c r="D14" s="162">
        <v>54</v>
      </c>
      <c r="E14" s="162"/>
      <c r="F14" s="160" t="s">
        <v>115</v>
      </c>
      <c r="G14" s="163"/>
      <c r="H14" s="163"/>
      <c r="I14" s="164"/>
      <c r="J14" s="160"/>
      <c r="K14" s="165"/>
      <c r="L14" s="166"/>
      <c r="M14" s="132" t="s">
        <v>107</v>
      </c>
      <c r="O14" s="158" t="s">
        <v>98</v>
      </c>
    </row>
    <row r="15" spans="1:15" ht="15">
      <c r="A15" s="156">
        <v>2</v>
      </c>
      <c r="B15" s="160"/>
      <c r="C15" s="161"/>
      <c r="D15" s="162">
        <v>48</v>
      </c>
      <c r="E15" s="162"/>
      <c r="F15" s="160" t="s">
        <v>111</v>
      </c>
      <c r="G15" s="163"/>
      <c r="H15" s="163"/>
      <c r="I15" s="164"/>
      <c r="J15" s="160"/>
      <c r="K15" s="165"/>
      <c r="L15" s="166"/>
      <c r="M15" s="132" t="s">
        <v>109</v>
      </c>
      <c r="O15" s="158" t="s">
        <v>104</v>
      </c>
    </row>
    <row r="16" spans="1:15" ht="15">
      <c r="A16" s="156">
        <v>3</v>
      </c>
      <c r="B16" s="160"/>
      <c r="C16" s="161"/>
      <c r="D16" s="162">
        <v>72</v>
      </c>
      <c r="E16" s="162"/>
      <c r="F16" s="160" t="s">
        <v>98</v>
      </c>
      <c r="G16" s="163"/>
      <c r="H16" s="163"/>
      <c r="I16" s="164"/>
      <c r="J16" s="160"/>
      <c r="K16" s="165"/>
      <c r="L16" s="166"/>
      <c r="M16" s="132" t="s">
        <v>111</v>
      </c>
      <c r="O16" s="158" t="s">
        <v>106</v>
      </c>
    </row>
    <row r="17" spans="1:15" ht="15">
      <c r="A17" s="156">
        <v>4</v>
      </c>
      <c r="B17" s="160"/>
      <c r="C17" s="161"/>
      <c r="D17" s="162">
        <v>50</v>
      </c>
      <c r="E17" s="162"/>
      <c r="F17" s="160" t="s">
        <v>117</v>
      </c>
      <c r="G17" s="163"/>
      <c r="H17" s="163"/>
      <c r="I17" s="164"/>
      <c r="J17" s="160"/>
      <c r="K17" s="165"/>
      <c r="L17" s="166"/>
      <c r="M17" s="132" t="s">
        <v>113</v>
      </c>
      <c r="O17" s="159" t="s">
        <v>107</v>
      </c>
    </row>
    <row r="18" spans="1:15" ht="15">
      <c r="A18" s="156">
        <v>5</v>
      </c>
      <c r="B18" s="160"/>
      <c r="C18" s="161"/>
      <c r="D18" s="162">
        <v>71</v>
      </c>
      <c r="E18" s="162"/>
      <c r="F18" s="160" t="s">
        <v>115</v>
      </c>
      <c r="G18" s="163"/>
      <c r="H18" s="163"/>
      <c r="I18" s="164"/>
      <c r="J18" s="160"/>
      <c r="K18" s="165"/>
      <c r="L18" s="166"/>
      <c r="M18" s="132" t="s">
        <v>115</v>
      </c>
      <c r="O18" s="159" t="s">
        <v>109</v>
      </c>
    </row>
    <row r="19" spans="1:15" ht="15">
      <c r="A19" s="156">
        <v>6</v>
      </c>
      <c r="B19" s="160"/>
      <c r="C19" s="161"/>
      <c r="D19" s="162"/>
      <c r="E19" s="162"/>
      <c r="F19" s="160"/>
      <c r="G19" s="163"/>
      <c r="H19" s="163"/>
      <c r="I19" s="164"/>
      <c r="J19" s="160"/>
      <c r="K19" s="165"/>
      <c r="L19" s="166"/>
      <c r="M19" s="132" t="s">
        <v>117</v>
      </c>
      <c r="O19" s="159" t="s">
        <v>111</v>
      </c>
    </row>
    <row r="20" spans="1:15" ht="15">
      <c r="A20" s="156">
        <v>7</v>
      </c>
      <c r="B20" s="160"/>
      <c r="C20" s="161"/>
      <c r="D20" s="162"/>
      <c r="E20" s="162"/>
      <c r="F20" s="160"/>
      <c r="G20" s="163"/>
      <c r="H20" s="163"/>
      <c r="I20" s="164"/>
      <c r="J20" s="160"/>
      <c r="K20" s="165"/>
      <c r="L20" s="166"/>
      <c r="M20" s="132" t="s">
        <v>118</v>
      </c>
      <c r="O20" s="159" t="s">
        <v>113</v>
      </c>
    </row>
    <row r="21" spans="1:15" ht="15">
      <c r="A21" s="156">
        <v>8</v>
      </c>
      <c r="B21" s="160"/>
      <c r="C21" s="161"/>
      <c r="D21" s="162"/>
      <c r="E21" s="162"/>
      <c r="F21" s="160"/>
      <c r="G21" s="163"/>
      <c r="H21" s="163"/>
      <c r="I21" s="164"/>
      <c r="J21" s="160"/>
      <c r="K21" s="165"/>
      <c r="L21" s="166"/>
      <c r="M21" s="132" t="s">
        <v>119</v>
      </c>
      <c r="O21" s="159" t="s">
        <v>115</v>
      </c>
    </row>
    <row r="22" spans="1:15" ht="15">
      <c r="A22" s="156">
        <v>9</v>
      </c>
      <c r="B22" s="160"/>
      <c r="C22" s="161"/>
      <c r="D22" s="162"/>
      <c r="E22" s="162"/>
      <c r="F22" s="160"/>
      <c r="G22" s="163"/>
      <c r="H22" s="163"/>
      <c r="I22" s="164"/>
      <c r="J22" s="160"/>
      <c r="K22" s="165"/>
      <c r="L22" s="166"/>
      <c r="O22" s="159" t="s">
        <v>117</v>
      </c>
    </row>
    <row r="23" spans="1:15" ht="15">
      <c r="A23" s="156">
        <v>10</v>
      </c>
      <c r="B23" s="160"/>
      <c r="C23" s="161"/>
      <c r="D23" s="162"/>
      <c r="E23" s="162"/>
      <c r="F23" s="160"/>
      <c r="G23" s="163"/>
      <c r="H23" s="163"/>
      <c r="I23" s="164"/>
      <c r="J23" s="160"/>
      <c r="K23" s="165"/>
      <c r="L23" s="166"/>
      <c r="O23" s="159" t="s">
        <v>118</v>
      </c>
    </row>
    <row r="24" spans="1:15" ht="15">
      <c r="A24" s="156">
        <v>11</v>
      </c>
      <c r="B24" s="160"/>
      <c r="C24" s="161"/>
      <c r="D24" s="162"/>
      <c r="E24" s="162"/>
      <c r="F24" s="160"/>
      <c r="G24" s="163"/>
      <c r="H24" s="163"/>
      <c r="I24" s="164"/>
      <c r="J24" s="160"/>
      <c r="K24" s="165"/>
      <c r="L24" s="166"/>
      <c r="O24" s="159" t="s">
        <v>119</v>
      </c>
    </row>
    <row r="25" spans="1:15" ht="15">
      <c r="A25" s="156">
        <v>12</v>
      </c>
      <c r="B25" s="160"/>
      <c r="C25" s="167"/>
      <c r="D25" s="162"/>
      <c r="E25" s="162"/>
      <c r="F25" s="160"/>
      <c r="G25" s="163"/>
      <c r="H25" s="163"/>
      <c r="I25" s="167"/>
      <c r="J25" s="167"/>
      <c r="K25" s="165"/>
      <c r="L25" s="166"/>
      <c r="O25" s="159" t="s">
        <v>157</v>
      </c>
    </row>
    <row r="26" spans="1:15" ht="15">
      <c r="A26" s="156">
        <v>13</v>
      </c>
      <c r="B26" s="160"/>
      <c r="C26" s="161"/>
      <c r="D26" s="162"/>
      <c r="E26" s="162"/>
      <c r="F26" s="160"/>
      <c r="G26" s="163"/>
      <c r="H26" s="163"/>
      <c r="I26" s="164"/>
      <c r="J26" s="160"/>
      <c r="K26" s="165"/>
      <c r="L26" s="166"/>
    </row>
    <row r="27" spans="1:15" ht="14.25" customHeight="1">
      <c r="A27" s="156">
        <v>14</v>
      </c>
      <c r="B27" s="160"/>
      <c r="C27" s="161"/>
      <c r="D27" s="162"/>
      <c r="E27" s="162"/>
      <c r="F27" s="160"/>
      <c r="G27" s="163"/>
      <c r="H27" s="163"/>
      <c r="I27" s="164"/>
      <c r="J27" s="160"/>
      <c r="K27" s="165"/>
      <c r="L27" s="166"/>
    </row>
    <row r="28" spans="1:15" ht="15">
      <c r="A28" s="156">
        <v>15</v>
      </c>
      <c r="B28" s="160"/>
      <c r="C28" s="161"/>
      <c r="D28" s="162"/>
      <c r="E28" s="162"/>
      <c r="F28" s="160"/>
      <c r="G28" s="163"/>
      <c r="H28" s="163"/>
      <c r="I28" s="164"/>
      <c r="J28" s="160"/>
      <c r="K28" s="165"/>
      <c r="L28" s="166"/>
    </row>
    <row r="29" spans="1:15" ht="15">
      <c r="A29" s="156">
        <v>16</v>
      </c>
      <c r="B29" s="160"/>
      <c r="C29" s="161"/>
      <c r="D29" s="162"/>
      <c r="E29" s="162"/>
      <c r="F29" s="160"/>
      <c r="G29" s="163"/>
      <c r="H29" s="163"/>
      <c r="I29" s="164"/>
      <c r="J29" s="160"/>
      <c r="K29" s="165"/>
      <c r="L29" s="166"/>
    </row>
    <row r="30" spans="1:15" ht="15">
      <c r="A30" s="156">
        <v>17</v>
      </c>
      <c r="B30" s="160"/>
      <c r="C30" s="167"/>
      <c r="D30" s="162"/>
      <c r="E30" s="162"/>
      <c r="F30" s="160"/>
      <c r="G30" s="163"/>
      <c r="H30" s="163"/>
      <c r="I30" s="167"/>
      <c r="J30" s="167"/>
      <c r="K30" s="165"/>
      <c r="L30" s="166"/>
    </row>
    <row r="31" spans="1:15" ht="15">
      <c r="A31" s="156">
        <v>18</v>
      </c>
      <c r="B31" s="160"/>
      <c r="C31" s="161"/>
      <c r="D31" s="162"/>
      <c r="E31" s="162"/>
      <c r="F31" s="160"/>
      <c r="G31" s="163"/>
      <c r="H31" s="163"/>
      <c r="I31" s="164"/>
      <c r="J31" s="160"/>
      <c r="K31" s="165"/>
      <c r="L31" s="166"/>
    </row>
    <row r="32" spans="1:15" ht="15">
      <c r="A32" s="156">
        <v>19</v>
      </c>
      <c r="B32" s="160"/>
      <c r="C32" s="161"/>
      <c r="D32" s="162"/>
      <c r="E32" s="162"/>
      <c r="F32" s="160"/>
      <c r="G32" s="163"/>
      <c r="H32" s="163"/>
      <c r="I32" s="164"/>
      <c r="J32" s="160"/>
      <c r="K32" s="165"/>
      <c r="L32" s="166"/>
    </row>
    <row r="33" spans="1:12" ht="15">
      <c r="A33" s="156">
        <v>20</v>
      </c>
      <c r="B33" s="160"/>
      <c r="C33" s="161"/>
      <c r="D33" s="162"/>
      <c r="E33" s="162"/>
      <c r="F33" s="160"/>
      <c r="G33" s="163"/>
      <c r="H33" s="163"/>
      <c r="I33" s="164"/>
      <c r="J33" s="160"/>
      <c r="K33" s="165"/>
      <c r="L33" s="166"/>
    </row>
  </sheetData>
  <sheetProtection password="CEE9" sheet="1" objects="1" scenarios="1"/>
  <mergeCells count="5">
    <mergeCell ref="F12:G12"/>
    <mergeCell ref="B11:H11"/>
    <mergeCell ref="I11:L11"/>
    <mergeCell ref="A11:A12"/>
    <mergeCell ref="I12:J12"/>
  </mergeCells>
  <phoneticPr fontId="2" type="noConversion"/>
  <dataValidations count="3">
    <dataValidation type="textLength" allowBlank="1" showInputMessage="1" showErrorMessage="1" sqref="C25:C33 C20:C23">
      <formula1>11</formula1>
      <formula2>11</formula2>
    </dataValidation>
    <dataValidation type="whole" allowBlank="1" showInputMessage="1" showErrorMessage="1" error="EN AZ 5 SAAT EN FAZLA 200" sqref="D14:E33 C14:C19">
      <formula1>5</formula1>
      <formula2>300</formula2>
    </dataValidation>
    <dataValidation type="list" allowBlank="1" showInputMessage="1" showErrorMessage="1" sqref="F14:F33">
      <formula1>$O$14:$O$25</formula1>
    </dataValidation>
  </dataValidations>
  <pageMargins left="0" right="0" top="0.59055118110236227" bottom="0.39370078740157483" header="0.51181102362204722" footer="0.31496062992125984"/>
  <pageSetup paperSize="9" scale="7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0"/>
  <sheetViews>
    <sheetView topLeftCell="A16" zoomScale="130" zoomScaleNormal="130" workbookViewId="0">
      <selection activeCell="G15" sqref="G15"/>
    </sheetView>
  </sheetViews>
  <sheetFormatPr defaultRowHeight="11.25"/>
  <cols>
    <col min="1" max="1" width="0.7109375" style="171" customWidth="1"/>
    <col min="2" max="2" width="8.5703125" style="171" customWidth="1"/>
    <col min="3" max="11" width="3.28515625" style="172" customWidth="1"/>
    <col min="12" max="12" width="6" style="172" customWidth="1"/>
    <col min="13" max="16" width="3.28515625" style="172" customWidth="1"/>
    <col min="17" max="17" width="8.28515625" style="172" customWidth="1"/>
    <col min="18" max="18" width="14.28515625" style="172" customWidth="1"/>
    <col min="19" max="19" width="39.5703125" style="172" bestFit="1" customWidth="1"/>
    <col min="20" max="16384" width="9.140625" style="171"/>
  </cols>
  <sheetData>
    <row r="1" spans="1:22">
      <c r="R1" s="173"/>
    </row>
    <row r="2" spans="1:22">
      <c r="B2" s="287" t="s">
        <v>47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</row>
    <row r="3" spans="1:22" ht="12.75" customHeight="1" thickBot="1">
      <c r="B3" s="174"/>
      <c r="C3" s="175"/>
      <c r="D3" s="113"/>
      <c r="E3" s="113"/>
      <c r="F3" s="113"/>
      <c r="G3" s="176"/>
      <c r="H3" s="113"/>
      <c r="I3" s="113"/>
      <c r="J3" s="175"/>
      <c r="K3" s="175"/>
      <c r="L3" s="175"/>
      <c r="M3" s="177"/>
      <c r="N3" s="177"/>
      <c r="O3" s="178"/>
      <c r="P3" s="178"/>
      <c r="Q3" s="179"/>
      <c r="R3" s="178"/>
      <c r="S3" s="179"/>
    </row>
    <row r="4" spans="1:22" ht="12" thickTop="1">
      <c r="A4" s="180"/>
      <c r="B4" s="303" t="s">
        <v>40</v>
      </c>
      <c r="C4" s="304"/>
      <c r="D4" s="300"/>
      <c r="E4" s="300"/>
      <c r="F4" s="300"/>
      <c r="G4" s="300"/>
      <c r="H4" s="300"/>
      <c r="I4" s="302"/>
      <c r="J4" s="299" t="s">
        <v>46</v>
      </c>
      <c r="K4" s="300"/>
      <c r="L4" s="300"/>
      <c r="M4" s="300">
        <v>2016</v>
      </c>
      <c r="N4" s="300"/>
      <c r="O4" s="300"/>
      <c r="P4" s="302"/>
      <c r="Q4" s="307" t="s">
        <v>41</v>
      </c>
      <c r="R4" s="288" t="s">
        <v>0</v>
      </c>
      <c r="S4" s="229"/>
    </row>
    <row r="5" spans="1:22" ht="12" thickBot="1">
      <c r="A5" s="180"/>
      <c r="B5" s="305"/>
      <c r="C5" s="306"/>
      <c r="D5" s="297">
        <v>54153</v>
      </c>
      <c r="E5" s="297"/>
      <c r="F5" s="297"/>
      <c r="G5" s="297"/>
      <c r="H5" s="297"/>
      <c r="I5" s="298"/>
      <c r="J5" s="301"/>
      <c r="K5" s="297"/>
      <c r="L5" s="297"/>
      <c r="M5" s="297"/>
      <c r="N5" s="297"/>
      <c r="O5" s="297"/>
      <c r="P5" s="298"/>
      <c r="Q5" s="308"/>
      <c r="R5" s="289"/>
      <c r="S5" s="230"/>
      <c r="T5" s="226"/>
      <c r="U5" s="226"/>
      <c r="V5" s="226"/>
    </row>
    <row r="6" spans="1:22" ht="12.75" customHeight="1" thickTop="1">
      <c r="A6" s="180"/>
      <c r="B6" s="290" t="s">
        <v>39</v>
      </c>
      <c r="C6" s="291"/>
      <c r="D6" s="252">
        <v>1</v>
      </c>
      <c r="E6" s="252">
        <v>2</v>
      </c>
      <c r="F6" s="252">
        <v>3</v>
      </c>
      <c r="G6" s="252">
        <v>4</v>
      </c>
      <c r="H6" s="253">
        <v>5</v>
      </c>
      <c r="I6" s="294" t="s">
        <v>42</v>
      </c>
      <c r="J6" s="295"/>
      <c r="K6" s="295"/>
      <c r="L6" s="254" t="s">
        <v>43</v>
      </c>
      <c r="M6" s="332">
        <f ca="1">TODAY()</f>
        <v>43861</v>
      </c>
      <c r="N6" s="295"/>
      <c r="O6" s="295"/>
      <c r="P6" s="333"/>
      <c r="Q6" s="308"/>
      <c r="R6" s="255" t="s">
        <v>38</v>
      </c>
      <c r="S6" s="149"/>
      <c r="T6" s="226"/>
      <c r="U6" s="226" t="s">
        <v>31</v>
      </c>
      <c r="V6" s="226" t="s">
        <v>32</v>
      </c>
    </row>
    <row r="7" spans="1:22" ht="12.75" customHeight="1" thickBot="1">
      <c r="A7" s="180"/>
      <c r="B7" s="292"/>
      <c r="C7" s="293"/>
      <c r="D7" s="103">
        <v>0</v>
      </c>
      <c r="E7" s="103">
        <v>0</v>
      </c>
      <c r="F7" s="103"/>
      <c r="G7" s="103">
        <v>0</v>
      </c>
      <c r="H7" s="104">
        <v>0</v>
      </c>
      <c r="I7" s="296"/>
      <c r="J7" s="297"/>
      <c r="K7" s="297"/>
      <c r="L7" s="256" t="s">
        <v>44</v>
      </c>
      <c r="M7" s="297"/>
      <c r="N7" s="297"/>
      <c r="O7" s="297"/>
      <c r="P7" s="298"/>
      <c r="Q7" s="308"/>
      <c r="R7" s="105" t="s">
        <v>37</v>
      </c>
      <c r="S7" s="105"/>
      <c r="T7" s="226"/>
      <c r="U7" s="227">
        <f>R55+R56+BORDRO!I26+BORDRO!T26</f>
        <v>8047.1084897000001</v>
      </c>
      <c r="V7" s="228">
        <f>R21+R22+R23+R24+R25+R26+R28</f>
        <v>2482.8523006870005</v>
      </c>
    </row>
    <row r="8" spans="1:22" ht="22.5" customHeight="1" thickTop="1" thickBot="1">
      <c r="A8" s="180"/>
      <c r="B8" s="328" t="s">
        <v>45</v>
      </c>
      <c r="C8" s="329"/>
      <c r="D8" s="329"/>
      <c r="E8" s="336" t="s">
        <v>209</v>
      </c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8"/>
      <c r="Q8" s="308"/>
      <c r="R8" s="222" t="s">
        <v>7</v>
      </c>
      <c r="S8" s="221"/>
      <c r="T8" s="226"/>
      <c r="U8" s="227">
        <f>U7-V7</f>
        <v>5564.256189013</v>
      </c>
      <c r="V8" s="226"/>
    </row>
    <row r="9" spans="1:22" ht="12.75" thickTop="1" thickBot="1">
      <c r="A9" s="183"/>
      <c r="B9" s="330" t="s">
        <v>18</v>
      </c>
      <c r="C9" s="331"/>
      <c r="D9" s="331"/>
      <c r="E9" s="339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8"/>
      <c r="Q9" s="308"/>
      <c r="R9" s="222" t="s">
        <v>36</v>
      </c>
      <c r="S9" s="222"/>
      <c r="T9" s="226"/>
      <c r="U9" s="227">
        <f>R56-(U8)</f>
        <v>-5111.836189013</v>
      </c>
      <c r="V9" s="226"/>
    </row>
    <row r="10" spans="1:22" ht="12.75" thickTop="1" thickBot="1">
      <c r="A10" s="180"/>
      <c r="B10" s="334" t="s">
        <v>34</v>
      </c>
      <c r="C10" s="335"/>
      <c r="D10" s="335"/>
      <c r="E10" s="339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8"/>
      <c r="Q10" s="309"/>
      <c r="R10" s="223" t="s">
        <v>35</v>
      </c>
      <c r="S10" s="223"/>
      <c r="T10" s="226"/>
      <c r="U10" s="226"/>
      <c r="V10" s="226"/>
    </row>
    <row r="11" spans="1:22" ht="12.75" thickTop="1" thickBot="1">
      <c r="A11" s="180"/>
      <c r="B11" s="184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85"/>
      <c r="T11" s="226"/>
      <c r="U11" s="226"/>
      <c r="V11" s="226"/>
    </row>
    <row r="12" spans="1:22" ht="12" thickTop="1">
      <c r="A12" s="180"/>
      <c r="B12" s="325" t="s">
        <v>25</v>
      </c>
      <c r="C12" s="313" t="s">
        <v>26</v>
      </c>
      <c r="D12" s="314"/>
      <c r="E12" s="314"/>
      <c r="F12" s="314"/>
      <c r="G12" s="315"/>
      <c r="H12" s="313" t="s">
        <v>27</v>
      </c>
      <c r="I12" s="314"/>
      <c r="J12" s="314"/>
      <c r="K12" s="315"/>
      <c r="L12" s="310" t="s">
        <v>28</v>
      </c>
      <c r="M12" s="313" t="s">
        <v>29</v>
      </c>
      <c r="N12" s="314"/>
      <c r="O12" s="314"/>
      <c r="P12" s="315"/>
      <c r="Q12" s="319" t="s">
        <v>30</v>
      </c>
      <c r="R12" s="315"/>
      <c r="S12" s="310" t="s">
        <v>33</v>
      </c>
    </row>
    <row r="13" spans="1:22" ht="12.75" customHeight="1">
      <c r="A13" s="180"/>
      <c r="B13" s="326"/>
      <c r="C13" s="316"/>
      <c r="D13" s="317"/>
      <c r="E13" s="317"/>
      <c r="F13" s="317"/>
      <c r="G13" s="318"/>
      <c r="H13" s="316"/>
      <c r="I13" s="317"/>
      <c r="J13" s="317"/>
      <c r="K13" s="318"/>
      <c r="L13" s="311"/>
      <c r="M13" s="316"/>
      <c r="N13" s="317"/>
      <c r="O13" s="317"/>
      <c r="P13" s="318"/>
      <c r="Q13" s="316" t="s">
        <v>31</v>
      </c>
      <c r="R13" s="318" t="s">
        <v>32</v>
      </c>
      <c r="S13" s="311"/>
    </row>
    <row r="14" spans="1:22" ht="12" thickBot="1">
      <c r="A14" s="180"/>
      <c r="B14" s="327"/>
      <c r="C14" s="238">
        <v>1</v>
      </c>
      <c r="D14" s="186">
        <v>2</v>
      </c>
      <c r="E14" s="186">
        <v>3</v>
      </c>
      <c r="F14" s="186">
        <v>4</v>
      </c>
      <c r="G14" s="239">
        <v>5</v>
      </c>
      <c r="H14" s="238">
        <v>1</v>
      </c>
      <c r="I14" s="186">
        <v>2</v>
      </c>
      <c r="J14" s="186">
        <v>3</v>
      </c>
      <c r="K14" s="239">
        <v>4</v>
      </c>
      <c r="L14" s="237">
        <v>1</v>
      </c>
      <c r="M14" s="238">
        <v>1</v>
      </c>
      <c r="N14" s="186">
        <v>2</v>
      </c>
      <c r="O14" s="186">
        <v>3</v>
      </c>
      <c r="P14" s="239">
        <v>4</v>
      </c>
      <c r="Q14" s="320"/>
      <c r="R14" s="321"/>
      <c r="S14" s="312"/>
    </row>
    <row r="15" spans="1:22" ht="12" thickTop="1">
      <c r="A15" s="180"/>
      <c r="B15" s="187"/>
      <c r="C15" s="250"/>
      <c r="D15" s="251"/>
      <c r="E15" s="251"/>
      <c r="F15" s="251"/>
      <c r="G15" s="188"/>
      <c r="H15" s="250"/>
      <c r="I15" s="251"/>
      <c r="J15" s="251"/>
      <c r="K15" s="188"/>
      <c r="L15" s="189"/>
      <c r="M15" s="250"/>
      <c r="N15" s="251"/>
      <c r="O15" s="251"/>
      <c r="P15" s="188"/>
      <c r="Q15" s="190">
        <f>BORDRO!I26</f>
        <v>6032.3193000000001</v>
      </c>
      <c r="R15" s="191"/>
      <c r="S15" s="249" t="s">
        <v>226</v>
      </c>
    </row>
    <row r="16" spans="1:22">
      <c r="A16" s="180"/>
      <c r="B16" s="192"/>
      <c r="C16" s="193"/>
      <c r="D16" s="232"/>
      <c r="E16" s="232"/>
      <c r="F16" s="232"/>
      <c r="G16" s="236"/>
      <c r="H16" s="193"/>
      <c r="I16" s="232"/>
      <c r="J16" s="232"/>
      <c r="K16" s="236"/>
      <c r="L16" s="248"/>
      <c r="M16" s="193"/>
      <c r="N16" s="232"/>
      <c r="O16" s="232"/>
      <c r="P16" s="236"/>
      <c r="Q16" s="194">
        <f>BORDRO!J26</f>
        <v>1236.6400000000001</v>
      </c>
      <c r="R16" s="195"/>
      <c r="S16" s="182" t="s">
        <v>235</v>
      </c>
    </row>
    <row r="17" spans="1:19">
      <c r="A17" s="180"/>
      <c r="B17" s="192"/>
      <c r="C17" s="193"/>
      <c r="D17" s="232"/>
      <c r="E17" s="232"/>
      <c r="F17" s="232"/>
      <c r="G17" s="236"/>
      <c r="H17" s="193"/>
      <c r="I17" s="232"/>
      <c r="J17" s="232"/>
      <c r="K17" s="236"/>
      <c r="L17" s="248"/>
      <c r="M17" s="193"/>
      <c r="N17" s="232"/>
      <c r="O17" s="232"/>
      <c r="P17" s="236"/>
      <c r="Q17" s="194"/>
      <c r="R17" s="195"/>
      <c r="S17" s="182"/>
    </row>
    <row r="18" spans="1:19">
      <c r="A18" s="180"/>
      <c r="B18" s="192"/>
      <c r="C18" s="193"/>
      <c r="D18" s="232"/>
      <c r="E18" s="232"/>
      <c r="F18" s="232"/>
      <c r="G18" s="236"/>
      <c r="H18" s="193"/>
      <c r="I18" s="232"/>
      <c r="J18" s="232"/>
      <c r="K18" s="236"/>
      <c r="L18" s="248"/>
      <c r="M18" s="193"/>
      <c r="N18" s="232"/>
      <c r="O18" s="232"/>
      <c r="P18" s="236"/>
      <c r="Q18" s="194"/>
      <c r="R18" s="195"/>
      <c r="S18" s="182"/>
    </row>
    <row r="19" spans="1:19">
      <c r="A19" s="180"/>
      <c r="B19" s="192"/>
      <c r="C19" s="193"/>
      <c r="D19" s="232"/>
      <c r="E19" s="232"/>
      <c r="F19" s="232"/>
      <c r="G19" s="236"/>
      <c r="H19" s="193"/>
      <c r="I19" s="232"/>
      <c r="J19" s="232"/>
      <c r="K19" s="236"/>
      <c r="L19" s="248"/>
      <c r="M19" s="193"/>
      <c r="N19" s="232"/>
      <c r="O19" s="232"/>
      <c r="P19" s="236"/>
      <c r="Q19" s="196"/>
      <c r="R19" s="195"/>
      <c r="S19" s="182"/>
    </row>
    <row r="20" spans="1:19">
      <c r="A20" s="180"/>
      <c r="B20" s="192"/>
      <c r="C20" s="193"/>
      <c r="D20" s="232"/>
      <c r="E20" s="232"/>
      <c r="F20" s="232"/>
      <c r="G20" s="236"/>
      <c r="H20" s="193"/>
      <c r="I20" s="232"/>
      <c r="J20" s="232"/>
      <c r="K20" s="236"/>
      <c r="L20" s="248"/>
      <c r="M20" s="193"/>
      <c r="N20" s="232"/>
      <c r="O20" s="232"/>
      <c r="P20" s="236"/>
      <c r="Q20" s="196"/>
      <c r="R20" s="195"/>
      <c r="S20" s="182"/>
    </row>
    <row r="21" spans="1:19">
      <c r="A21" s="180"/>
      <c r="B21" s="192"/>
      <c r="C21" s="193"/>
      <c r="D21" s="232"/>
      <c r="E21" s="232"/>
      <c r="F21" s="232"/>
      <c r="G21" s="236"/>
      <c r="H21" s="193"/>
      <c r="I21" s="232"/>
      <c r="J21" s="232"/>
      <c r="K21" s="236"/>
      <c r="L21" s="248"/>
      <c r="M21" s="193"/>
      <c r="N21" s="232"/>
      <c r="O21" s="232"/>
      <c r="P21" s="236"/>
      <c r="Q21" s="196"/>
      <c r="R21" s="196">
        <f>BORDRO!U26</f>
        <v>778.16918970000006</v>
      </c>
      <c r="S21" s="197" t="s">
        <v>48</v>
      </c>
    </row>
    <row r="22" spans="1:19">
      <c r="A22" s="180"/>
      <c r="B22" s="192"/>
      <c r="C22" s="193"/>
      <c r="D22" s="232"/>
      <c r="E22" s="232"/>
      <c r="F22" s="232"/>
      <c r="G22" s="236"/>
      <c r="H22" s="193"/>
      <c r="I22" s="232"/>
      <c r="J22" s="232"/>
      <c r="K22" s="236"/>
      <c r="L22" s="248"/>
      <c r="M22" s="235"/>
      <c r="N22" s="193"/>
      <c r="O22" s="193"/>
      <c r="P22" s="236"/>
      <c r="Q22" s="196"/>
      <c r="R22" s="194">
        <f>BORDRO!W26</f>
        <v>45.785303487000007</v>
      </c>
      <c r="S22" s="181" t="s">
        <v>227</v>
      </c>
    </row>
    <row r="23" spans="1:19">
      <c r="A23" s="180"/>
      <c r="B23" s="192"/>
      <c r="C23" s="193"/>
      <c r="D23" s="232"/>
      <c r="E23" s="232"/>
      <c r="F23" s="232"/>
      <c r="G23" s="236"/>
      <c r="H23" s="193"/>
      <c r="I23" s="232"/>
      <c r="J23" s="232"/>
      <c r="K23" s="236"/>
      <c r="L23" s="248"/>
      <c r="M23" s="193"/>
      <c r="N23" s="232"/>
      <c r="O23" s="232"/>
      <c r="P23" s="236"/>
      <c r="Q23" s="196"/>
      <c r="R23" s="194"/>
      <c r="S23" s="181" t="s">
        <v>82</v>
      </c>
    </row>
    <row r="24" spans="1:19">
      <c r="A24" s="180"/>
      <c r="B24" s="192"/>
      <c r="C24" s="193"/>
      <c r="D24" s="232"/>
      <c r="E24" s="232"/>
      <c r="F24" s="232"/>
      <c r="G24" s="236"/>
      <c r="H24" s="193"/>
      <c r="I24" s="232"/>
      <c r="J24" s="232"/>
      <c r="K24" s="236"/>
      <c r="L24" s="248"/>
      <c r="M24" s="193"/>
      <c r="N24" s="232"/>
      <c r="O24" s="232"/>
      <c r="P24" s="236"/>
      <c r="Q24" s="196"/>
      <c r="R24" s="196"/>
      <c r="S24" s="181" t="s">
        <v>81</v>
      </c>
    </row>
    <row r="25" spans="1:19">
      <c r="A25" s="180"/>
      <c r="B25" s="192"/>
      <c r="C25" s="193"/>
      <c r="D25" s="232"/>
      <c r="E25" s="232"/>
      <c r="F25" s="232"/>
      <c r="G25" s="236"/>
      <c r="H25" s="193"/>
      <c r="I25" s="232"/>
      <c r="J25" s="232"/>
      <c r="K25" s="236"/>
      <c r="L25" s="248"/>
      <c r="M25" s="193"/>
      <c r="N25" s="232"/>
      <c r="O25" s="232"/>
      <c r="P25" s="236"/>
      <c r="Q25" s="196"/>
      <c r="R25" s="198">
        <f>BORDRO!N26</f>
        <v>663.55512299999998</v>
      </c>
      <c r="S25" s="181" t="s">
        <v>228</v>
      </c>
    </row>
    <row r="26" spans="1:19">
      <c r="A26" s="180"/>
      <c r="B26" s="192"/>
      <c r="C26" s="193"/>
      <c r="D26" s="232"/>
      <c r="E26" s="232"/>
      <c r="F26" s="232"/>
      <c r="G26" s="236"/>
      <c r="H26" s="193"/>
      <c r="I26" s="232"/>
      <c r="J26" s="232"/>
      <c r="K26" s="236"/>
      <c r="L26" s="248"/>
      <c r="M26" s="193"/>
      <c r="N26" s="232"/>
      <c r="O26" s="232"/>
      <c r="P26" s="236"/>
      <c r="Q26" s="196"/>
      <c r="R26" s="196">
        <f>BORDRO!M26</f>
        <v>452.43394750000004</v>
      </c>
      <c r="S26" s="181" t="s">
        <v>229</v>
      </c>
    </row>
    <row r="27" spans="1:19">
      <c r="A27" s="180"/>
      <c r="B27" s="192"/>
      <c r="C27" s="193"/>
      <c r="D27" s="232"/>
      <c r="E27" s="232"/>
      <c r="F27" s="232"/>
      <c r="G27" s="236"/>
      <c r="H27" s="193"/>
      <c r="I27" s="232"/>
      <c r="J27" s="232"/>
      <c r="K27" s="236"/>
      <c r="L27" s="248"/>
      <c r="M27" s="193"/>
      <c r="N27" s="232"/>
      <c r="O27" s="232"/>
      <c r="P27" s="236"/>
      <c r="Q27" s="196"/>
      <c r="R27" s="196">
        <f>BORDRO!O26</f>
        <v>120.64638600000001</v>
      </c>
      <c r="S27" s="182" t="s">
        <v>230</v>
      </c>
    </row>
    <row r="28" spans="1:19">
      <c r="A28" s="180"/>
      <c r="B28" s="192"/>
      <c r="C28" s="193"/>
      <c r="D28" s="232"/>
      <c r="E28" s="232"/>
      <c r="F28" s="232"/>
      <c r="G28" s="236"/>
      <c r="H28" s="193"/>
      <c r="I28" s="232"/>
      <c r="J28" s="232"/>
      <c r="K28" s="236"/>
      <c r="L28" s="248"/>
      <c r="M28" s="193"/>
      <c r="N28" s="232"/>
      <c r="O28" s="232"/>
      <c r="P28" s="236"/>
      <c r="Q28" s="196"/>
      <c r="R28" s="196">
        <f>BORDRO!Q26</f>
        <v>542.90873700000009</v>
      </c>
      <c r="S28" s="182" t="s">
        <v>231</v>
      </c>
    </row>
    <row r="29" spans="1:19">
      <c r="A29" s="180"/>
      <c r="B29" s="192"/>
      <c r="C29" s="193"/>
      <c r="D29" s="232"/>
      <c r="E29" s="232"/>
      <c r="F29" s="232"/>
      <c r="G29" s="236"/>
      <c r="H29" s="193"/>
      <c r="I29" s="232"/>
      <c r="J29" s="232"/>
      <c r="K29" s="236"/>
      <c r="L29" s="248"/>
      <c r="M29" s="193"/>
      <c r="N29" s="232"/>
      <c r="O29" s="232"/>
      <c r="P29" s="236"/>
      <c r="Q29" s="196"/>
      <c r="R29" s="196">
        <f>BORDRO!P26</f>
        <v>301.61596500000007</v>
      </c>
      <c r="S29" s="182" t="s">
        <v>232</v>
      </c>
    </row>
    <row r="30" spans="1:19">
      <c r="A30" s="180"/>
      <c r="B30" s="192"/>
      <c r="C30" s="193"/>
      <c r="D30" s="232"/>
      <c r="E30" s="232"/>
      <c r="F30" s="232"/>
      <c r="G30" s="236"/>
      <c r="H30" s="193"/>
      <c r="I30" s="232"/>
      <c r="J30" s="232"/>
      <c r="K30" s="236"/>
      <c r="L30" s="248"/>
      <c r="M30" s="193"/>
      <c r="N30" s="232"/>
      <c r="O30" s="232"/>
      <c r="P30" s="236"/>
      <c r="Q30" s="196">
        <f>BORDRO!T26</f>
        <v>778.16918970000006</v>
      </c>
      <c r="R30" s="196"/>
      <c r="S30" s="182" t="s">
        <v>233</v>
      </c>
    </row>
    <row r="31" spans="1:19">
      <c r="A31" s="180"/>
      <c r="B31" s="192"/>
      <c r="C31" s="193"/>
      <c r="D31" s="232"/>
      <c r="E31" s="232"/>
      <c r="F31" s="232"/>
      <c r="G31" s="236"/>
      <c r="H31" s="193"/>
      <c r="I31" s="232"/>
      <c r="J31" s="232"/>
      <c r="K31" s="236"/>
      <c r="L31" s="248"/>
      <c r="M31" s="193"/>
      <c r="N31" s="232"/>
      <c r="O31" s="232"/>
      <c r="P31" s="236"/>
      <c r="Q31" s="196"/>
      <c r="R31" s="195"/>
      <c r="S31" s="182"/>
    </row>
    <row r="32" spans="1:19">
      <c r="A32" s="180"/>
      <c r="B32" s="192"/>
      <c r="C32" s="193"/>
      <c r="D32" s="232"/>
      <c r="E32" s="232"/>
      <c r="F32" s="232"/>
      <c r="G32" s="236"/>
      <c r="H32" s="193"/>
      <c r="I32" s="232"/>
      <c r="J32" s="232"/>
      <c r="K32" s="236"/>
      <c r="L32" s="248"/>
      <c r="M32" s="193"/>
      <c r="N32" s="232"/>
      <c r="O32" s="232"/>
      <c r="P32" s="236"/>
      <c r="Q32" s="196"/>
      <c r="R32" s="195"/>
      <c r="S32" s="182"/>
    </row>
    <row r="33" spans="1:19">
      <c r="A33" s="180"/>
      <c r="B33" s="192"/>
      <c r="C33" s="193"/>
      <c r="D33" s="232"/>
      <c r="E33" s="232"/>
      <c r="F33" s="232"/>
      <c r="G33" s="236"/>
      <c r="H33" s="193"/>
      <c r="I33" s="232"/>
      <c r="J33" s="232"/>
      <c r="K33" s="236"/>
      <c r="L33" s="248"/>
      <c r="M33" s="193"/>
      <c r="N33" s="232"/>
      <c r="O33" s="232"/>
      <c r="P33" s="236"/>
      <c r="Q33" s="196"/>
      <c r="R33" s="196">
        <f>BORDRO!AA26</f>
        <v>5142.0138380130002</v>
      </c>
      <c r="S33" s="182" t="s">
        <v>234</v>
      </c>
    </row>
    <row r="34" spans="1:19">
      <c r="A34" s="180"/>
      <c r="B34" s="192"/>
      <c r="C34" s="193"/>
      <c r="D34" s="232"/>
      <c r="E34" s="232"/>
      <c r="F34" s="232"/>
      <c r="G34" s="236"/>
      <c r="H34" s="193"/>
      <c r="I34" s="232"/>
      <c r="J34" s="232"/>
      <c r="K34" s="236"/>
      <c r="L34" s="248"/>
      <c r="M34" s="193"/>
      <c r="N34" s="232"/>
      <c r="O34" s="232"/>
      <c r="P34" s="236"/>
      <c r="Q34" s="196"/>
      <c r="R34" s="195"/>
      <c r="S34" s="182"/>
    </row>
    <row r="35" spans="1:19">
      <c r="A35" s="180"/>
      <c r="B35" s="192"/>
      <c r="C35" s="193"/>
      <c r="D35" s="232"/>
      <c r="E35" s="232"/>
      <c r="F35" s="232"/>
      <c r="G35" s="236"/>
      <c r="H35" s="193"/>
      <c r="I35" s="232"/>
      <c r="J35" s="232"/>
      <c r="K35" s="236"/>
      <c r="L35" s="248"/>
      <c r="M35" s="193"/>
      <c r="N35" s="232"/>
      <c r="O35" s="232"/>
      <c r="P35" s="236"/>
      <c r="Q35" s="196"/>
      <c r="R35" s="196"/>
      <c r="S35" s="182"/>
    </row>
    <row r="36" spans="1:19">
      <c r="A36" s="180"/>
      <c r="B36" s="192"/>
      <c r="C36" s="193"/>
      <c r="D36" s="232"/>
      <c r="E36" s="232"/>
      <c r="F36" s="232"/>
      <c r="G36" s="236"/>
      <c r="H36" s="193"/>
      <c r="I36" s="232"/>
      <c r="J36" s="232"/>
      <c r="K36" s="236"/>
      <c r="L36" s="248"/>
      <c r="M36" s="193"/>
      <c r="N36" s="232"/>
      <c r="O36" s="232"/>
      <c r="P36" s="236"/>
      <c r="Q36" s="196"/>
      <c r="R36" s="196"/>
      <c r="S36" s="182"/>
    </row>
    <row r="37" spans="1:19">
      <c r="A37" s="180"/>
      <c r="B37" s="192"/>
      <c r="C37" s="193"/>
      <c r="D37" s="232"/>
      <c r="E37" s="232"/>
      <c r="F37" s="232"/>
      <c r="G37" s="236"/>
      <c r="H37" s="193"/>
      <c r="I37" s="232"/>
      <c r="J37" s="232"/>
      <c r="K37" s="236"/>
      <c r="L37" s="248"/>
      <c r="M37" s="193"/>
      <c r="N37" s="232"/>
      <c r="O37" s="232"/>
      <c r="P37" s="236"/>
      <c r="Q37" s="196"/>
      <c r="R37" s="196"/>
      <c r="S37" s="182"/>
    </row>
    <row r="38" spans="1:19">
      <c r="A38" s="180"/>
      <c r="B38" s="192"/>
      <c r="C38" s="193"/>
      <c r="D38" s="232"/>
      <c r="E38" s="232"/>
      <c r="F38" s="232"/>
      <c r="G38" s="236"/>
      <c r="H38" s="193"/>
      <c r="I38" s="232"/>
      <c r="J38" s="232"/>
      <c r="K38" s="236"/>
      <c r="L38" s="248"/>
      <c r="M38" s="193"/>
      <c r="N38" s="232"/>
      <c r="O38" s="232"/>
      <c r="P38" s="236"/>
      <c r="Q38" s="196"/>
      <c r="R38" s="195"/>
      <c r="S38" s="182"/>
    </row>
    <row r="39" spans="1:19">
      <c r="A39" s="180"/>
      <c r="B39" s="192"/>
      <c r="C39" s="193"/>
      <c r="D39" s="232"/>
      <c r="E39" s="232"/>
      <c r="F39" s="232"/>
      <c r="G39" s="236"/>
      <c r="H39" s="193"/>
      <c r="I39" s="232"/>
      <c r="J39" s="232"/>
      <c r="K39" s="236"/>
      <c r="L39" s="248"/>
      <c r="M39" s="193"/>
      <c r="N39" s="232"/>
      <c r="O39" s="232"/>
      <c r="P39" s="236"/>
      <c r="Q39" s="196"/>
      <c r="R39" s="196"/>
      <c r="S39" s="182"/>
    </row>
    <row r="40" spans="1:19">
      <c r="A40" s="180"/>
      <c r="B40" s="192"/>
      <c r="C40" s="193"/>
      <c r="D40" s="232"/>
      <c r="E40" s="232"/>
      <c r="F40" s="232"/>
      <c r="G40" s="236"/>
      <c r="H40" s="193"/>
      <c r="I40" s="232"/>
      <c r="J40" s="232"/>
      <c r="K40" s="236"/>
      <c r="L40" s="248"/>
      <c r="M40" s="193"/>
      <c r="N40" s="232"/>
      <c r="O40" s="232"/>
      <c r="P40" s="236"/>
      <c r="Q40" s="196"/>
      <c r="R40" s="195"/>
      <c r="S40" s="182"/>
    </row>
    <row r="41" spans="1:19">
      <c r="A41" s="180"/>
      <c r="B41" s="192"/>
      <c r="C41" s="193"/>
      <c r="D41" s="232"/>
      <c r="E41" s="232"/>
      <c r="F41" s="232"/>
      <c r="G41" s="236"/>
      <c r="H41" s="193"/>
      <c r="I41" s="232"/>
      <c r="J41" s="232"/>
      <c r="K41" s="236"/>
      <c r="L41" s="248"/>
      <c r="M41" s="193"/>
      <c r="N41" s="232"/>
      <c r="O41" s="232"/>
      <c r="P41" s="236"/>
      <c r="Q41" s="196"/>
      <c r="R41" s="195"/>
      <c r="S41" s="182"/>
    </row>
    <row r="42" spans="1:19" ht="12" thickBot="1">
      <c r="A42" s="180"/>
      <c r="B42" s="199"/>
      <c r="C42" s="200"/>
      <c r="D42" s="201"/>
      <c r="E42" s="201"/>
      <c r="F42" s="201"/>
      <c r="G42" s="202"/>
      <c r="H42" s="200"/>
      <c r="I42" s="201"/>
      <c r="J42" s="201"/>
      <c r="K42" s="202"/>
      <c r="L42" s="203"/>
      <c r="M42" s="200"/>
      <c r="N42" s="201"/>
      <c r="O42" s="201"/>
      <c r="P42" s="202"/>
      <c r="Q42" s="204"/>
      <c r="R42" s="205"/>
      <c r="S42" s="182"/>
    </row>
    <row r="43" spans="1:19" ht="12.75" thickTop="1" thickBot="1">
      <c r="A43" s="180"/>
      <c r="B43" s="322" t="s">
        <v>23</v>
      </c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4"/>
      <c r="Q43" s="206">
        <f>SUM(Q15:Q42)</f>
        <v>8047.1284897000005</v>
      </c>
      <c r="R43" s="207">
        <f>SUM(R15:R42)</f>
        <v>8047.1284897000005</v>
      </c>
      <c r="S43" s="208">
        <f>Q43-R43</f>
        <v>0</v>
      </c>
    </row>
    <row r="44" spans="1:19" ht="12" thickTop="1">
      <c r="A44" s="180"/>
      <c r="S44" s="234"/>
    </row>
    <row r="45" spans="1:19">
      <c r="A45" s="180"/>
      <c r="B45" s="364" t="s">
        <v>49</v>
      </c>
      <c r="C45" s="365"/>
      <c r="D45" s="365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65" t="s">
        <v>50</v>
      </c>
      <c r="Q45" s="365"/>
      <c r="R45" s="365"/>
      <c r="S45" s="369"/>
    </row>
    <row r="46" spans="1:19" ht="2.25" customHeight="1">
      <c r="A46" s="180"/>
      <c r="B46" s="364"/>
      <c r="C46" s="365"/>
      <c r="D46" s="365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183"/>
      <c r="P46" s="183"/>
      <c r="Q46" s="183"/>
      <c r="R46" s="183"/>
      <c r="S46" s="180"/>
    </row>
    <row r="47" spans="1:19" ht="12" thickBot="1">
      <c r="A47" s="180"/>
      <c r="S47" s="209">
        <f ca="1">M6</f>
        <v>43861</v>
      </c>
    </row>
    <row r="48" spans="1:19" ht="16.5" customHeight="1" thickTop="1">
      <c r="A48" s="180"/>
      <c r="B48" s="366" t="s">
        <v>51</v>
      </c>
      <c r="C48" s="362"/>
      <c r="D48" s="362" t="s">
        <v>52</v>
      </c>
      <c r="E48" s="362"/>
      <c r="F48" s="362"/>
      <c r="G48" s="362"/>
      <c r="H48" s="362" t="s">
        <v>53</v>
      </c>
      <c r="I48" s="362"/>
      <c r="J48" s="362"/>
      <c r="K48" s="362"/>
      <c r="L48" s="362" t="s">
        <v>16</v>
      </c>
      <c r="M48" s="362"/>
      <c r="N48" s="362"/>
      <c r="O48" s="362" t="s">
        <v>54</v>
      </c>
      <c r="P48" s="341"/>
      <c r="Q48" s="341"/>
      <c r="R48" s="363" t="s">
        <v>55</v>
      </c>
      <c r="S48" s="234" t="s">
        <v>65</v>
      </c>
    </row>
    <row r="49" spans="1:19">
      <c r="A49" s="180"/>
      <c r="B49" s="367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17"/>
      <c r="P49" s="317"/>
      <c r="Q49" s="317"/>
      <c r="R49" s="318"/>
      <c r="S49" s="234" t="s">
        <v>66</v>
      </c>
    </row>
    <row r="50" spans="1:19">
      <c r="A50" s="180"/>
      <c r="B50" s="346"/>
      <c r="C50" s="344"/>
      <c r="D50" s="343">
        <f>SUM(Q15,Q16,Q17)</f>
        <v>7268.9593000000004</v>
      </c>
      <c r="E50" s="344"/>
      <c r="F50" s="344"/>
      <c r="G50" s="344"/>
      <c r="H50" s="343">
        <f>Q18</f>
        <v>0</v>
      </c>
      <c r="I50" s="344"/>
      <c r="J50" s="344"/>
      <c r="K50" s="344"/>
      <c r="L50" s="343">
        <f>R21+R22+R23+R24+R25+R26</f>
        <v>1939.9435636870003</v>
      </c>
      <c r="M50" s="344"/>
      <c r="N50" s="344"/>
      <c r="O50" s="343">
        <f>D50+H50-L50</f>
        <v>5329.0157363130002</v>
      </c>
      <c r="P50" s="344"/>
      <c r="Q50" s="344"/>
      <c r="R50" s="350"/>
      <c r="S50" s="234"/>
    </row>
    <row r="51" spans="1:19" ht="12" thickBot="1">
      <c r="A51" s="180"/>
      <c r="B51" s="347"/>
      <c r="C51" s="345"/>
      <c r="D51" s="345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51"/>
      <c r="S51" s="210" t="s">
        <v>67</v>
      </c>
    </row>
    <row r="52" spans="1:19" ht="12" thickTop="1">
      <c r="A52" s="180"/>
      <c r="B52" s="352" t="s">
        <v>56</v>
      </c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4"/>
      <c r="P52" s="355" t="s">
        <v>144</v>
      </c>
      <c r="Q52" s="355"/>
      <c r="R52" s="355"/>
      <c r="S52" s="356"/>
    </row>
    <row r="53" spans="1:19">
      <c r="A53" s="180"/>
      <c r="B53" s="361" t="s">
        <v>57</v>
      </c>
      <c r="C53" s="359"/>
      <c r="D53" s="359"/>
      <c r="E53" s="359"/>
      <c r="F53" s="359" t="s">
        <v>58</v>
      </c>
      <c r="G53" s="359"/>
      <c r="H53" s="359"/>
      <c r="I53" s="359"/>
      <c r="J53" s="359"/>
      <c r="K53" s="348" t="s">
        <v>59</v>
      </c>
      <c r="L53" s="349"/>
      <c r="M53" s="349"/>
      <c r="N53" s="349"/>
      <c r="O53" s="311"/>
      <c r="P53" s="357"/>
      <c r="Q53" s="357"/>
      <c r="R53" s="357"/>
      <c r="S53" s="358"/>
    </row>
    <row r="54" spans="1:19" ht="20.100000000000001" customHeight="1">
      <c r="A54" s="180"/>
      <c r="B54" s="346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50"/>
      <c r="P54" s="211"/>
      <c r="Q54" s="212" t="s">
        <v>136</v>
      </c>
      <c r="R54" s="213">
        <f>BORDRO!$I$26</f>
        <v>6032.3193000000001</v>
      </c>
      <c r="S54" s="214"/>
    </row>
    <row r="55" spans="1:19" ht="20.100000000000001" customHeight="1" thickBot="1">
      <c r="A55" s="180"/>
      <c r="B55" s="347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51"/>
      <c r="P55" s="233"/>
      <c r="Q55" s="215">
        <v>0.13</v>
      </c>
      <c r="R55" s="216">
        <f>ROUND(($R$54*13/100),2)</f>
        <v>784.2</v>
      </c>
      <c r="S55" s="180"/>
    </row>
    <row r="56" spans="1:19" ht="20.100000000000001" customHeight="1" thickTop="1">
      <c r="A56" s="180"/>
      <c r="B56" s="340" t="s">
        <v>60</v>
      </c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1"/>
      <c r="N56" s="341"/>
      <c r="O56" s="342"/>
      <c r="P56" s="233"/>
      <c r="Q56" s="217">
        <v>7.4999999999999997E-2</v>
      </c>
      <c r="R56" s="216">
        <f>ROUND(($R$54*7.5/100),2)</f>
        <v>452.42</v>
      </c>
      <c r="S56" s="180"/>
    </row>
    <row r="57" spans="1:19" ht="20.100000000000001" customHeight="1">
      <c r="A57" s="180"/>
      <c r="B57" s="360" t="s">
        <v>61</v>
      </c>
      <c r="C57" s="317"/>
      <c r="D57" s="317"/>
      <c r="E57" s="317" t="s">
        <v>43</v>
      </c>
      <c r="F57" s="317"/>
      <c r="G57" s="317"/>
      <c r="H57" s="317"/>
      <c r="I57" s="317" t="s">
        <v>62</v>
      </c>
      <c r="J57" s="317"/>
      <c r="K57" s="317"/>
      <c r="L57" s="317" t="s">
        <v>63</v>
      </c>
      <c r="M57" s="317"/>
      <c r="N57" s="317"/>
      <c r="O57" s="318"/>
      <c r="P57" s="233"/>
      <c r="Q57" s="215">
        <v>0.14000000000000001</v>
      </c>
      <c r="R57" s="216">
        <f>ROUND(($R$54*14/100),2)</f>
        <v>844.52</v>
      </c>
      <c r="S57" s="180"/>
    </row>
    <row r="58" spans="1:19" ht="20.100000000000001" customHeight="1">
      <c r="A58" s="180"/>
      <c r="B58" s="346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50"/>
      <c r="P58" s="233"/>
      <c r="Q58" s="215">
        <v>0.32</v>
      </c>
      <c r="R58" s="216">
        <f>T52</f>
        <v>0</v>
      </c>
      <c r="S58" s="180"/>
    </row>
    <row r="59" spans="1:19" ht="20.100000000000001" customHeight="1" thickBot="1">
      <c r="A59" s="180"/>
      <c r="B59" s="347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51"/>
      <c r="P59" s="218"/>
      <c r="Q59" s="219" t="s">
        <v>23</v>
      </c>
      <c r="R59" s="220">
        <f>SUM($R$55:$R$58)</f>
        <v>2081.1400000000003</v>
      </c>
      <c r="S59" s="185"/>
    </row>
    <row r="60" spans="1:19" ht="12" thickTop="1"/>
  </sheetData>
  <sheetProtection password="CEE9" sheet="1" objects="1" scenarios="1"/>
  <mergeCells count="60">
    <mergeCell ref="B53:E53"/>
    <mergeCell ref="D50:G51"/>
    <mergeCell ref="O48:Q49"/>
    <mergeCell ref="R48:R49"/>
    <mergeCell ref="B45:D46"/>
    <mergeCell ref="B48:C49"/>
    <mergeCell ref="D48:G49"/>
    <mergeCell ref="H48:K49"/>
    <mergeCell ref="L48:N49"/>
    <mergeCell ref="P45:S45"/>
    <mergeCell ref="E45:O45"/>
    <mergeCell ref="B58:D59"/>
    <mergeCell ref="E58:H59"/>
    <mergeCell ref="I58:K59"/>
    <mergeCell ref="L58:O59"/>
    <mergeCell ref="B57:D57"/>
    <mergeCell ref="B56:O56"/>
    <mergeCell ref="E57:H57"/>
    <mergeCell ref="I57:K57"/>
    <mergeCell ref="L57:O57"/>
    <mergeCell ref="H50:K51"/>
    <mergeCell ref="L50:N51"/>
    <mergeCell ref="O50:Q51"/>
    <mergeCell ref="B50:C51"/>
    <mergeCell ref="K53:O53"/>
    <mergeCell ref="B54:E55"/>
    <mergeCell ref="F54:J55"/>
    <mergeCell ref="K54:O55"/>
    <mergeCell ref="B52:O52"/>
    <mergeCell ref="P52:S53"/>
    <mergeCell ref="R50:R51"/>
    <mergeCell ref="F53:J53"/>
    <mergeCell ref="C12:G13"/>
    <mergeCell ref="H12:K13"/>
    <mergeCell ref="B43:P43"/>
    <mergeCell ref="B12:B14"/>
    <mergeCell ref="D5:I5"/>
    <mergeCell ref="B8:D8"/>
    <mergeCell ref="B9:D9"/>
    <mergeCell ref="M6:P6"/>
    <mergeCell ref="B10:D10"/>
    <mergeCell ref="E8:P8"/>
    <mergeCell ref="E9:P9"/>
    <mergeCell ref="E10:P10"/>
    <mergeCell ref="S12:S14"/>
    <mergeCell ref="L12:L13"/>
    <mergeCell ref="M12:P13"/>
    <mergeCell ref="Q12:R12"/>
    <mergeCell ref="Q13:Q14"/>
    <mergeCell ref="R13:R14"/>
    <mergeCell ref="B2:S2"/>
    <mergeCell ref="R4:R5"/>
    <mergeCell ref="B6:C7"/>
    <mergeCell ref="I6:K7"/>
    <mergeCell ref="M7:P7"/>
    <mergeCell ref="J4:L5"/>
    <mergeCell ref="M4:P5"/>
    <mergeCell ref="B4:C5"/>
    <mergeCell ref="Q4:Q10"/>
    <mergeCell ref="D4:I4"/>
  </mergeCells>
  <phoneticPr fontId="2" type="noConversion"/>
  <pageMargins left="0.15748031496062992" right="0.15748031496062992" top="0.19685039370078741" bottom="0" header="0.51181102362204722" footer="0.51181102362204722"/>
  <pageSetup paperSize="9" scale="8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9"/>
  <sheetViews>
    <sheetView showZeros="0" zoomScaleNormal="100" workbookViewId="0">
      <selection activeCell="O6" sqref="O6:O25"/>
    </sheetView>
  </sheetViews>
  <sheetFormatPr defaultRowHeight="11.25"/>
  <cols>
    <col min="1" max="1" width="4.42578125" style="106" bestFit="1" customWidth="1"/>
    <col min="2" max="2" width="11.42578125" style="106" bestFit="1" customWidth="1"/>
    <col min="3" max="3" width="9.5703125" style="106" bestFit="1" customWidth="1"/>
    <col min="4" max="4" width="7.42578125" style="106" bestFit="1" customWidth="1"/>
    <col min="5" max="5" width="6.85546875" style="106" bestFit="1" customWidth="1"/>
    <col min="6" max="6" width="7.85546875" style="106" bestFit="1" customWidth="1"/>
    <col min="7" max="7" width="7.7109375" style="106" bestFit="1" customWidth="1"/>
    <col min="8" max="8" width="5.140625" style="106" bestFit="1" customWidth="1"/>
    <col min="9" max="10" width="7.85546875" style="106" bestFit="1" customWidth="1"/>
    <col min="11" max="11" width="9.140625" style="106" bestFit="1" customWidth="1"/>
    <col min="12" max="12" width="7.5703125" style="106" bestFit="1" customWidth="1"/>
    <col min="13" max="13" width="6.5703125" style="106" bestFit="1" customWidth="1"/>
    <col min="14" max="14" width="8.42578125" style="106" bestFit="1" customWidth="1"/>
    <col min="15" max="15" width="6.85546875" style="106" bestFit="1" customWidth="1"/>
    <col min="16" max="16" width="7" style="106" bestFit="1" customWidth="1"/>
    <col min="17" max="17" width="5.85546875" style="106" bestFit="1" customWidth="1"/>
    <col min="18" max="18" width="7.5703125" style="106" bestFit="1" customWidth="1"/>
    <col min="19" max="20" width="5.85546875" style="106" bestFit="1" customWidth="1"/>
    <col min="21" max="21" width="7" style="106" bestFit="1" customWidth="1"/>
    <col min="22" max="22" width="7.5703125" style="106" bestFit="1" customWidth="1"/>
    <col min="23" max="23" width="6.5703125" style="106" bestFit="1" customWidth="1"/>
    <col min="24" max="24" width="7.42578125" style="106" bestFit="1" customWidth="1"/>
    <col min="25" max="25" width="5.140625" style="106" bestFit="1" customWidth="1"/>
    <col min="26" max="26" width="7.5703125" style="106" bestFit="1" customWidth="1"/>
    <col min="27" max="27" width="8.42578125" style="106" bestFit="1" customWidth="1"/>
    <col min="28" max="28" width="0" style="106" hidden="1" customWidth="1"/>
    <col min="29" max="29" width="6.42578125" style="106" hidden="1" customWidth="1"/>
    <col min="30" max="16384" width="9.140625" style="106"/>
  </cols>
  <sheetData>
    <row r="1" spans="1:29" ht="3.75" customHeight="1" thickBot="1">
      <c r="W1" s="107"/>
      <c r="X1" s="107"/>
      <c r="Y1" s="107"/>
      <c r="Z1" s="107"/>
      <c r="AA1" s="107"/>
    </row>
    <row r="2" spans="1:29" ht="19.5" customHeight="1" thickTop="1">
      <c r="A2" s="393" t="s">
        <v>19</v>
      </c>
      <c r="B2" s="394"/>
      <c r="C2" s="108">
        <f>'KİŞİ BİLGİ'!$C$12</f>
        <v>0.146061</v>
      </c>
      <c r="D2" s="109"/>
      <c r="E2" s="109"/>
      <c r="F2" s="402" t="s">
        <v>21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110"/>
      <c r="T2" s="110"/>
      <c r="U2" s="107"/>
      <c r="V2" s="382" t="s">
        <v>24</v>
      </c>
      <c r="W2" s="382"/>
      <c r="X2" s="382"/>
      <c r="Y2" s="259"/>
      <c r="Z2" s="259" t="str">
        <f>'KİŞİ BİLGİ'!$K$12</f>
        <v>HAZİRAN</v>
      </c>
      <c r="AA2" s="259">
        <f>'KİŞİ BİLGİ'!$L$12</f>
        <v>2016</v>
      </c>
    </row>
    <row r="3" spans="1:29" ht="16.5" customHeight="1" thickBot="1">
      <c r="A3" s="395" t="s">
        <v>20</v>
      </c>
      <c r="B3" s="396"/>
      <c r="C3" s="263">
        <f>C2*140</f>
        <v>20.448540000000001</v>
      </c>
      <c r="D3" s="111"/>
      <c r="E3" s="112"/>
      <c r="F3" s="385" t="str">
        <f>'KİŞİ BİLGİ'!$B$11</f>
        <v>ATATÜRK ANADOLU LİSESİ MÜDÜRLÜĞÜ</v>
      </c>
      <c r="G3" s="385"/>
      <c r="H3" s="385"/>
      <c r="I3" s="385"/>
      <c r="J3" s="385"/>
      <c r="K3" s="385"/>
      <c r="L3" s="385"/>
      <c r="M3" s="386"/>
      <c r="N3" s="386"/>
      <c r="O3" s="386"/>
      <c r="P3" s="386"/>
      <c r="Q3" s="386"/>
      <c r="R3" s="385"/>
      <c r="S3" s="113"/>
      <c r="T3" s="114"/>
      <c r="U3" s="389"/>
      <c r="V3" s="389"/>
      <c r="W3" s="390"/>
      <c r="X3" s="390"/>
      <c r="Y3" s="390"/>
      <c r="Z3" s="390"/>
      <c r="AA3" s="390"/>
    </row>
    <row r="4" spans="1:29" ht="23.25" customHeight="1" thickTop="1" thickBot="1">
      <c r="A4" s="376" t="s">
        <v>6</v>
      </c>
      <c r="B4" s="379" t="s">
        <v>8</v>
      </c>
      <c r="C4" s="379" t="s">
        <v>0</v>
      </c>
      <c r="D4" s="383" t="s">
        <v>140</v>
      </c>
      <c r="E4" s="387" t="s">
        <v>141</v>
      </c>
      <c r="F4" s="399" t="s">
        <v>9</v>
      </c>
      <c r="G4" s="400" t="s">
        <v>224</v>
      </c>
      <c r="H4" s="400" t="s">
        <v>225</v>
      </c>
      <c r="I4" s="374" t="s">
        <v>10</v>
      </c>
      <c r="J4" s="374" t="s">
        <v>22</v>
      </c>
      <c r="K4" s="374" t="s">
        <v>11</v>
      </c>
      <c r="L4" s="403" t="s">
        <v>12</v>
      </c>
      <c r="M4" s="405" t="s">
        <v>13</v>
      </c>
      <c r="N4" s="406"/>
      <c r="O4" s="406"/>
      <c r="P4" s="406"/>
      <c r="Q4" s="407"/>
      <c r="R4" s="397" t="s">
        <v>14</v>
      </c>
      <c r="S4" s="257" t="s">
        <v>123</v>
      </c>
      <c r="T4" s="257" t="s">
        <v>125</v>
      </c>
      <c r="U4" s="374" t="s">
        <v>15</v>
      </c>
      <c r="V4" s="260" t="s">
        <v>153</v>
      </c>
      <c r="W4" s="374" t="s">
        <v>143</v>
      </c>
      <c r="X4" s="380" t="s">
        <v>213</v>
      </c>
      <c r="Y4" s="380" t="s">
        <v>81</v>
      </c>
      <c r="Z4" s="374" t="s">
        <v>16</v>
      </c>
      <c r="AA4" s="391" t="s">
        <v>17</v>
      </c>
    </row>
    <row r="5" spans="1:29" s="116" customFormat="1" ht="54" customHeight="1" thickBot="1">
      <c r="A5" s="377"/>
      <c r="B5" s="378"/>
      <c r="C5" s="378"/>
      <c r="D5" s="384"/>
      <c r="E5" s="388"/>
      <c r="F5" s="378"/>
      <c r="G5" s="401"/>
      <c r="H5" s="401"/>
      <c r="I5" s="375"/>
      <c r="J5" s="375"/>
      <c r="K5" s="375"/>
      <c r="L5" s="404"/>
      <c r="M5" s="267" t="s">
        <v>220</v>
      </c>
      <c r="N5" s="268" t="s">
        <v>218</v>
      </c>
      <c r="O5" s="269" t="s">
        <v>219</v>
      </c>
      <c r="P5" s="265" t="s">
        <v>221</v>
      </c>
      <c r="Q5" s="266" t="s">
        <v>222</v>
      </c>
      <c r="R5" s="398"/>
      <c r="S5" s="258" t="s">
        <v>124</v>
      </c>
      <c r="T5" s="258" t="s">
        <v>124</v>
      </c>
      <c r="U5" s="378"/>
      <c r="V5" s="115" t="s">
        <v>154</v>
      </c>
      <c r="W5" s="378"/>
      <c r="X5" s="381"/>
      <c r="Y5" s="381"/>
      <c r="Z5" s="378"/>
      <c r="AA5" s="392"/>
    </row>
    <row r="6" spans="1:29" ht="12" thickTop="1">
      <c r="A6" s="117">
        <f>IF('KİŞİ BİLGİ'!A14&lt;&gt;0,'KİŞİ BİLGİ'!A14,"")</f>
        <v>1</v>
      </c>
      <c r="B6" s="118" t="str">
        <f>IF('KİŞİ BİLGİ'!C14&lt;&gt;0,'KİŞİ BİLGİ'!C14,"")</f>
        <v/>
      </c>
      <c r="C6" s="272" t="str">
        <f>IF('KİŞİ BİLGİ'!B14&lt;&gt;0,'KİŞİ BİLGİ'!B14,"")</f>
        <v/>
      </c>
      <c r="D6" s="273" t="str">
        <f>IF('KİŞİ BİLGİ'!K14&lt;&gt;0,'KİŞİ BİLGİ'!K14,"")</f>
        <v/>
      </c>
      <c r="E6" s="273" t="str">
        <f>IF('KİŞİ BİLGİ'!L14&lt;&gt;0,'KİŞİ BİLGİ'!L14,"")</f>
        <v/>
      </c>
      <c r="F6" s="118">
        <f t="shared" ref="F6" si="0">IF(G6&lt;&gt;"",ROUNDUP(G6/7.5,0),"")</f>
        <v>8</v>
      </c>
      <c r="G6" s="271">
        <f>IF('KİŞİ BİLGİ'!D14&lt;&gt;0,'KİŞİ BİLGİ'!D14,"")</f>
        <v>54</v>
      </c>
      <c r="H6" s="271" t="str">
        <f>IF('KİŞİ BİLGİ'!E14&lt;&gt;0,'KİŞİ BİLGİ'!E14,"")</f>
        <v/>
      </c>
      <c r="I6" s="121">
        <f>IFERROR(IF(G6&gt;0,G6*$C$3,0),0)+IFERROR(IF(H6&gt;0,H6*$C$3*2,0),0)</f>
        <v>1104.2211600000001</v>
      </c>
      <c r="J6" s="122">
        <f>IF(I6&lt;&gt;"",ROUND(I6*20.5/100+N29,2),"")</f>
        <v>226.38</v>
      </c>
      <c r="K6" s="121">
        <f>IF(AND(I6&lt;&gt;"",J6&lt;&gt;""),I6+J6,"")</f>
        <v>1330.6011600000002</v>
      </c>
      <c r="L6" s="121">
        <f>I6</f>
        <v>1104.2211600000001</v>
      </c>
      <c r="M6" s="121">
        <f>IF(I6&lt;&gt;"",(I6*7.5/100+N29),"")</f>
        <v>82.826587000000004</v>
      </c>
      <c r="N6" s="121">
        <f>IF(I6&lt;&gt;"",(I6*11/100),"")</f>
        <v>121.46432759999999</v>
      </c>
      <c r="O6" s="121">
        <f>IF(I6&lt;&gt;"",(I6*2/100),"")</f>
        <v>22.0844232</v>
      </c>
      <c r="P6" s="121">
        <f>IF(L6&lt;&gt;"",((L6*5/100)),"")</f>
        <v>55.211058000000001</v>
      </c>
      <c r="Q6" s="121">
        <f>IF(L6&lt;&gt;"",((L6*9/100)),"")</f>
        <v>99.379904400000015</v>
      </c>
      <c r="R6" s="121">
        <f>IF(AND(L6&lt;&gt;"",P6&lt;&gt;""),L6-(P6+Q6),"")</f>
        <v>949.63019759999997</v>
      </c>
      <c r="S6" s="121">
        <f>A.G.İ.!E8</f>
        <v>253.83</v>
      </c>
      <c r="T6" s="121">
        <f>IF(S6&lt;=U6,S6,U6)</f>
        <v>142.44452964000001</v>
      </c>
      <c r="U6" s="121">
        <f>IF(R6&lt;&gt;"",(R6*15/100),"")</f>
        <v>142.44452964000001</v>
      </c>
      <c r="V6" s="121">
        <f>IF(AND(U6&lt;&gt;"",T6&lt;&gt;""),U6-T6,"")</f>
        <v>0</v>
      </c>
      <c r="W6" s="121">
        <f>IF(I6&lt;&gt;"",(I6*7.59/1000),"")</f>
        <v>8.3810386044000005</v>
      </c>
      <c r="X6" s="224"/>
      <c r="Y6" s="224"/>
      <c r="Z6" s="121">
        <f>IF(SUM(N6,P6,V6,W6,X6,Y6)&lt;&gt;0,SUM(N6,P6,V6,W6,O6,Q6,M6,X6,Y6),"")</f>
        <v>389.34733880440001</v>
      </c>
      <c r="AA6" s="123">
        <f>IF(AND(K6&lt;&gt;"",Z6&lt;&gt;""),K6-Z6,"")</f>
        <v>941.25382119560015</v>
      </c>
      <c r="AB6" s="106" t="str">
        <f>A.G.İ.TABLO!K2</f>
        <v>B</v>
      </c>
      <c r="AC6" s="106">
        <f>A.G.İ.TABLO!O2</f>
        <v>220.73</v>
      </c>
    </row>
    <row r="7" spans="1:29">
      <c r="A7" s="117">
        <f>IF('KİŞİ BİLGİ'!A15&lt;&gt;0,'KİŞİ BİLGİ'!A15,"")</f>
        <v>2</v>
      </c>
      <c r="B7" s="118" t="str">
        <f>IF('KİŞİ BİLGİ'!C15&lt;&gt;0,'KİŞİ BİLGİ'!C15,"")</f>
        <v/>
      </c>
      <c r="C7" s="119" t="str">
        <f>IF('KİŞİ BİLGİ'!B15&lt;&gt;0,'KİŞİ BİLGİ'!B15,"")</f>
        <v/>
      </c>
      <c r="D7" s="120" t="str">
        <f>IF('KİŞİ BİLGİ'!K15&lt;&gt;0,'KİŞİ BİLGİ'!K15,"")</f>
        <v/>
      </c>
      <c r="E7" s="120" t="str">
        <f>IF('KİŞİ BİLGİ'!L15&lt;&gt;0,'KİŞİ BİLGİ'!L15,"")</f>
        <v/>
      </c>
      <c r="F7" s="118">
        <f t="shared" ref="F7" si="1">IF(G7&lt;&gt;"",ROUNDUP(G7/7.5,0),"")</f>
        <v>7</v>
      </c>
      <c r="G7" s="271">
        <f>IF('KİŞİ BİLGİ'!D15&lt;&gt;0,'KİŞİ BİLGİ'!D15,"")</f>
        <v>48</v>
      </c>
      <c r="H7" s="271" t="str">
        <f>IF('KİŞİ BİLGİ'!E15&lt;&gt;0,'KİŞİ BİLGİ'!E15,"")</f>
        <v/>
      </c>
      <c r="I7" s="121">
        <f t="shared" ref="I7" si="2">IFERROR(IF(G7&gt;0,G7*$C$3,0),0)+IFERROR(IF(H7&gt;0,H7*$C$3*2,0),0)</f>
        <v>981.52992000000006</v>
      </c>
      <c r="J7" s="122">
        <f>IF(I7&lt;&gt;"",ROUND(I7*20.5/100,2),"")</f>
        <v>201.21</v>
      </c>
      <c r="K7" s="121">
        <f t="shared" ref="K7" si="3">IF(AND(I7&lt;&gt;"",J7&lt;&gt;""),I7+J7,"")</f>
        <v>1182.73992</v>
      </c>
      <c r="L7" s="121">
        <f t="shared" ref="L7" si="4">I7</f>
        <v>981.52992000000006</v>
      </c>
      <c r="M7" s="121">
        <f t="shared" ref="M7" si="5">IF(I7&lt;&gt;"",(I7*7.5/100+N30),"")</f>
        <v>73.614744000000002</v>
      </c>
      <c r="N7" s="121">
        <f t="shared" ref="N7" si="6">IF(I7&lt;&gt;"",(I7*11/100+N30),"")</f>
        <v>107.96829120000001</v>
      </c>
      <c r="O7" s="121">
        <f t="shared" ref="O7" si="7">IF(I7&lt;&gt;"",(I7*2/100+N30),"")</f>
        <v>19.6305984</v>
      </c>
      <c r="P7" s="121">
        <f t="shared" ref="P7" si="8">IF(L7&lt;&gt;"",((L7*5/100)),"")</f>
        <v>49.076496000000006</v>
      </c>
      <c r="Q7" s="121">
        <f t="shared" ref="Q7" si="9">IF(L7&lt;&gt;"",((L7*9/100)),"")</f>
        <v>88.337692799999999</v>
      </c>
      <c r="R7" s="121">
        <f t="shared" ref="R7" si="10">IF(AND(L7&lt;&gt;"",P7&lt;&gt;""),L7-(P7+Q7),"")</f>
        <v>844.11573120000003</v>
      </c>
      <c r="S7" s="121">
        <f>A.G.İ.!E9</f>
        <v>375.23</v>
      </c>
      <c r="T7" s="121">
        <f t="shared" ref="T7:T25" si="11">IF(S7&lt;=U7,S7,U7)</f>
        <v>126.61735968000001</v>
      </c>
      <c r="U7" s="121">
        <f t="shared" ref="U7" si="12">IF(R7&lt;&gt;"",(R7*15/100),"")</f>
        <v>126.61735968000001</v>
      </c>
      <c r="V7" s="121">
        <f t="shared" ref="V7" si="13">IF(AND(U7&lt;&gt;"",T7&lt;&gt;""),U7-T7,"")</f>
        <v>0</v>
      </c>
      <c r="W7" s="121">
        <f t="shared" ref="W7" si="14">IF(I7&lt;&gt;"",(I7*7.59/1000),"")</f>
        <v>7.4498120928000011</v>
      </c>
      <c r="X7" s="224"/>
      <c r="Y7" s="224"/>
      <c r="Z7" s="121">
        <f t="shared" ref="Z7" si="15">IF(SUM(N7,P7,V7,W7,X7,Y7)&lt;&gt;0,SUM(N7,P7,V7,W7,O7,Q7,M7,X7,Y7),"")</f>
        <v>346.07763449280003</v>
      </c>
      <c r="AA7" s="123">
        <f t="shared" ref="AA7" si="16">IF(AND(K7&lt;&gt;"",Z7&lt;&gt;""),K7-Z7,"")</f>
        <v>836.66228550719995</v>
      </c>
      <c r="AB7" s="106" t="str">
        <f>A.G.İ.TABLO!K3</f>
        <v>EE</v>
      </c>
      <c r="AC7" s="106">
        <f>A.G.İ.TABLO!O3</f>
        <v>220.73</v>
      </c>
    </row>
    <row r="8" spans="1:29">
      <c r="A8" s="117">
        <f>IF('KİŞİ BİLGİ'!A16&lt;&gt;0,'KİŞİ BİLGİ'!A16,"")</f>
        <v>3</v>
      </c>
      <c r="B8" s="118" t="str">
        <f>IF('KİŞİ BİLGİ'!C16&lt;&gt;0,'KİŞİ BİLGİ'!C16,"")</f>
        <v/>
      </c>
      <c r="C8" s="119" t="str">
        <f>IF('KİŞİ BİLGİ'!B16&lt;&gt;0,'KİŞİ BİLGİ'!B16,"")</f>
        <v/>
      </c>
      <c r="D8" s="120" t="str">
        <f>IF('KİŞİ BİLGİ'!K16&lt;&gt;0,'KİŞİ BİLGİ'!K16,"")</f>
        <v/>
      </c>
      <c r="E8" s="120" t="str">
        <f>IF('KİŞİ BİLGİ'!L16&lt;&gt;0,'KİŞİ BİLGİ'!L16,"")</f>
        <v/>
      </c>
      <c r="F8" s="118">
        <f t="shared" ref="F8:F25" si="17">IF(G8&lt;&gt;"",ROUNDUP(G8/7.5,0),"")</f>
        <v>10</v>
      </c>
      <c r="G8" s="271">
        <f>IF('KİŞİ BİLGİ'!D16&lt;&gt;0,'KİŞİ BİLGİ'!D16,"")</f>
        <v>72</v>
      </c>
      <c r="H8" s="271" t="str">
        <f>IF('KİŞİ BİLGİ'!E16&lt;&gt;0,'KİŞİ BİLGİ'!E16,"")</f>
        <v/>
      </c>
      <c r="I8" s="121">
        <f t="shared" ref="I8:I25" si="18">IFERROR(IF(G8&gt;0,G8*$C$3,0),0)+IFERROR(IF(H8&gt;0,H8*$C$3*2,0),0)</f>
        <v>1472.2948800000001</v>
      </c>
      <c r="J8" s="122">
        <f t="shared" ref="J8:J25" si="19">IF(I8&lt;&gt;"",ROUND(I8*20.5/100,2),"")</f>
        <v>301.82</v>
      </c>
      <c r="K8" s="121">
        <f t="shared" ref="K8:K25" si="20">IF(AND(I8&lt;&gt;"",J8&lt;&gt;""),I8+J8,"")</f>
        <v>1774.1148800000001</v>
      </c>
      <c r="L8" s="121">
        <f t="shared" ref="L8:L25" si="21">I8</f>
        <v>1472.2948800000001</v>
      </c>
      <c r="M8" s="121">
        <f t="shared" ref="M8:M25" si="22">IF(I8&lt;&gt;"",(I8*7.5/100+N31),"")</f>
        <v>110.422116</v>
      </c>
      <c r="N8" s="121">
        <f t="shared" ref="N8:N25" si="23">IF(I8&lt;&gt;"",(I8*11/100+N31),"")</f>
        <v>161.95243680000002</v>
      </c>
      <c r="O8" s="121">
        <f t="shared" ref="O8:O25" si="24">IF(I8&lt;&gt;"",(I8*2/100+N31),"")</f>
        <v>29.445897600000002</v>
      </c>
      <c r="P8" s="121">
        <f t="shared" ref="P8:P25" si="25">IF(L8&lt;&gt;"",((L8*5/100)),"")</f>
        <v>73.614744000000016</v>
      </c>
      <c r="Q8" s="121">
        <f t="shared" ref="Q8:Q25" si="26">IF(L8&lt;&gt;"",((L8*9/100)),"")</f>
        <v>132.50653920000002</v>
      </c>
      <c r="R8" s="121">
        <f t="shared" ref="R8:R25" si="27">IF(AND(L8&lt;&gt;"",P8&lt;&gt;""),L8-(P8+Q8),"")</f>
        <v>1266.1735968</v>
      </c>
      <c r="S8" s="121">
        <f>A.G.İ.!E10</f>
        <v>220.73</v>
      </c>
      <c r="T8" s="121">
        <f t="shared" si="11"/>
        <v>189.92603952000002</v>
      </c>
      <c r="U8" s="121">
        <f t="shared" ref="U8:U25" si="28">IF(R8&lt;&gt;"",(R8*15/100),"")</f>
        <v>189.92603952000002</v>
      </c>
      <c r="V8" s="121">
        <f t="shared" ref="V8:V25" si="29">IF(AND(U8&lt;&gt;"",T8&lt;&gt;""),U8-T8,"")</f>
        <v>0</v>
      </c>
      <c r="W8" s="121">
        <f t="shared" ref="W8:W25" si="30">IF(I8&lt;&gt;"",(I8*7.59/1000),"")</f>
        <v>11.174718139199999</v>
      </c>
      <c r="X8" s="224"/>
      <c r="Y8" s="224"/>
      <c r="Z8" s="121">
        <f t="shared" ref="Z8:Z25" si="31">IF(SUM(N8,P8,V8,W8,X8,Y8)&lt;&gt;0,SUM(N8,P8,V8,W8,O8,Q8,M8,X8,Y8),"")</f>
        <v>519.11645173919999</v>
      </c>
      <c r="AA8" s="123">
        <f t="shared" ref="AA8:AA25" si="32">IF(AND(K8&lt;&gt;"",Z8&lt;&gt;""),K8-Z8,"")</f>
        <v>1254.9984282608002</v>
      </c>
      <c r="AB8" s="106" t="str">
        <f>A.G.İ.TABLO!K4</f>
        <v>EH</v>
      </c>
      <c r="AC8" s="106">
        <f>A.G.İ.TABLO!O4</f>
        <v>264.87</v>
      </c>
    </row>
    <row r="9" spans="1:29">
      <c r="A9" s="117">
        <f>IF('KİŞİ BİLGİ'!A17&lt;&gt;0,'KİŞİ BİLGİ'!A17,"")</f>
        <v>4</v>
      </c>
      <c r="B9" s="118" t="str">
        <f>IF('KİŞİ BİLGİ'!C17&lt;&gt;0,'KİŞİ BİLGİ'!C17,"")</f>
        <v/>
      </c>
      <c r="C9" s="119" t="str">
        <f>IF('KİŞİ BİLGİ'!B17&lt;&gt;0,'KİŞİ BİLGİ'!B17,"")</f>
        <v/>
      </c>
      <c r="D9" s="120" t="str">
        <f>IF('KİŞİ BİLGİ'!K17&lt;&gt;0,'KİŞİ BİLGİ'!K17,"")</f>
        <v/>
      </c>
      <c r="E9" s="120" t="str">
        <f>IF('KİŞİ BİLGİ'!L17&lt;&gt;0,'KİŞİ BİLGİ'!L17,"")</f>
        <v/>
      </c>
      <c r="F9" s="118">
        <f t="shared" si="17"/>
        <v>7</v>
      </c>
      <c r="G9" s="271">
        <f>IF('KİŞİ BİLGİ'!D17&lt;&gt;0,'KİŞİ BİLGİ'!D17,"")</f>
        <v>50</v>
      </c>
      <c r="H9" s="271" t="str">
        <f>IF('KİŞİ BİLGİ'!E17&lt;&gt;0,'KİŞİ BİLGİ'!E17,"")</f>
        <v/>
      </c>
      <c r="I9" s="121">
        <f t="shared" si="18"/>
        <v>1022.427</v>
      </c>
      <c r="J9" s="122">
        <f t="shared" si="19"/>
        <v>209.6</v>
      </c>
      <c r="K9" s="121">
        <f t="shared" si="20"/>
        <v>1232.027</v>
      </c>
      <c r="L9" s="121">
        <f t="shared" si="21"/>
        <v>1022.427</v>
      </c>
      <c r="M9" s="121">
        <f t="shared" si="22"/>
        <v>76.68202500000001</v>
      </c>
      <c r="N9" s="121">
        <f t="shared" si="23"/>
        <v>112.46697</v>
      </c>
      <c r="O9" s="121">
        <f t="shared" si="24"/>
        <v>20.448540000000001</v>
      </c>
      <c r="P9" s="121">
        <f t="shared" si="25"/>
        <v>51.12135</v>
      </c>
      <c r="Q9" s="121">
        <f t="shared" si="26"/>
        <v>92.018430000000009</v>
      </c>
      <c r="R9" s="121">
        <f t="shared" si="27"/>
        <v>879.28722000000005</v>
      </c>
      <c r="S9" s="121">
        <f>A.G.İ.!E11</f>
        <v>286.94</v>
      </c>
      <c r="T9" s="121">
        <f t="shared" si="11"/>
        <v>131.89308300000002</v>
      </c>
      <c r="U9" s="121">
        <f t="shared" si="28"/>
        <v>131.89308300000002</v>
      </c>
      <c r="V9" s="121">
        <f t="shared" si="29"/>
        <v>0</v>
      </c>
      <c r="W9" s="121">
        <f t="shared" si="30"/>
        <v>7.76022093</v>
      </c>
      <c r="X9" s="224"/>
      <c r="Y9" s="224"/>
      <c r="Z9" s="121">
        <f t="shared" si="31"/>
        <v>360.49753593000003</v>
      </c>
      <c r="AA9" s="123">
        <f t="shared" si="32"/>
        <v>871.52946407000002</v>
      </c>
      <c r="AB9" s="106" t="str">
        <f>A.G.İ.TABLO!K5</f>
        <v>EH1</v>
      </c>
      <c r="AC9" s="106">
        <f>A.G.İ.TABLO!O5</f>
        <v>297.98</v>
      </c>
    </row>
    <row r="10" spans="1:29">
      <c r="A10" s="117">
        <f>IF('KİŞİ BİLGİ'!A18&lt;&gt;0,'KİŞİ BİLGİ'!A18,"")</f>
        <v>5</v>
      </c>
      <c r="B10" s="118" t="str">
        <f>IF('KİŞİ BİLGİ'!C18&lt;&gt;0,'KİŞİ BİLGİ'!C18,"")</f>
        <v/>
      </c>
      <c r="C10" s="119" t="str">
        <f>IF('KİŞİ BİLGİ'!B18&lt;&gt;0,'KİŞİ BİLGİ'!B18,"")</f>
        <v/>
      </c>
      <c r="D10" s="120" t="str">
        <f>IF('KİŞİ BİLGİ'!K18&lt;&gt;0,'KİŞİ BİLGİ'!K18,"")</f>
        <v/>
      </c>
      <c r="E10" s="120" t="str">
        <f>IF('KİŞİ BİLGİ'!L18&lt;&gt;0,'KİŞİ BİLGİ'!L18,"")</f>
        <v/>
      </c>
      <c r="F10" s="118">
        <f t="shared" si="17"/>
        <v>10</v>
      </c>
      <c r="G10" s="271">
        <f>IF('KİŞİ BİLGİ'!D18&lt;&gt;0,'KİŞİ BİLGİ'!D18,"")</f>
        <v>71</v>
      </c>
      <c r="H10" s="271" t="str">
        <f>IF('KİŞİ BİLGİ'!E18&lt;&gt;0,'KİŞİ BİLGİ'!E18,"")</f>
        <v/>
      </c>
      <c r="I10" s="121">
        <f t="shared" si="18"/>
        <v>1451.8463400000001</v>
      </c>
      <c r="J10" s="122">
        <f t="shared" si="19"/>
        <v>297.63</v>
      </c>
      <c r="K10" s="121">
        <f t="shared" si="20"/>
        <v>1749.4763400000002</v>
      </c>
      <c r="L10" s="121">
        <f t="shared" si="21"/>
        <v>1451.8463400000001</v>
      </c>
      <c r="M10" s="121">
        <f t="shared" si="22"/>
        <v>108.8884755</v>
      </c>
      <c r="N10" s="121">
        <f t="shared" si="23"/>
        <v>159.70309740000002</v>
      </c>
      <c r="O10" s="121">
        <f t="shared" si="24"/>
        <v>29.0369268</v>
      </c>
      <c r="P10" s="121">
        <f t="shared" si="25"/>
        <v>72.592317000000008</v>
      </c>
      <c r="Q10" s="121">
        <f t="shared" si="26"/>
        <v>130.66617060000002</v>
      </c>
      <c r="R10" s="121">
        <f t="shared" si="27"/>
        <v>1248.5878524</v>
      </c>
      <c r="S10" s="121">
        <f>A.G.İ.!E12</f>
        <v>253.83</v>
      </c>
      <c r="T10" s="121">
        <f t="shared" si="11"/>
        <v>187.28817785999999</v>
      </c>
      <c r="U10" s="121">
        <f t="shared" si="28"/>
        <v>187.28817785999999</v>
      </c>
      <c r="V10" s="121">
        <f t="shared" si="29"/>
        <v>0</v>
      </c>
      <c r="W10" s="121">
        <f t="shared" si="30"/>
        <v>11.019513720599999</v>
      </c>
      <c r="X10" s="224"/>
      <c r="Y10" s="224"/>
      <c r="Z10" s="121">
        <f t="shared" si="31"/>
        <v>511.9065010206001</v>
      </c>
      <c r="AA10" s="123">
        <f t="shared" si="32"/>
        <v>1237.5698389794002</v>
      </c>
      <c r="AB10" s="106" t="str">
        <f>A.G.İ.TABLO!K6</f>
        <v>EH2</v>
      </c>
      <c r="AC10" s="106">
        <f>A.G.İ.TABLO!O6</f>
        <v>331.09</v>
      </c>
    </row>
    <row r="11" spans="1:29">
      <c r="A11" s="117">
        <f>IF('KİŞİ BİLGİ'!A19&lt;&gt;0,'KİŞİ BİLGİ'!A19,"")</f>
        <v>6</v>
      </c>
      <c r="B11" s="118" t="str">
        <f>IF('KİŞİ BİLGİ'!C19&lt;&gt;0,'KİŞİ BİLGİ'!C19,"")</f>
        <v/>
      </c>
      <c r="C11" s="119" t="str">
        <f>IF('KİŞİ BİLGİ'!B19&lt;&gt;0,'KİŞİ BİLGİ'!B19,"")</f>
        <v/>
      </c>
      <c r="D11" s="120" t="str">
        <f>IF('KİŞİ BİLGİ'!K19&lt;&gt;0,'KİŞİ BİLGİ'!K19,"")</f>
        <v/>
      </c>
      <c r="E11" s="120" t="str">
        <f>IF('KİŞİ BİLGİ'!L19&lt;&gt;0,'KİŞİ BİLGİ'!L19,"")</f>
        <v/>
      </c>
      <c r="F11" s="118" t="str">
        <f t="shared" si="17"/>
        <v/>
      </c>
      <c r="G11" s="271" t="str">
        <f>IF('KİŞİ BİLGİ'!D19&lt;&gt;0,'KİŞİ BİLGİ'!D19,"")</f>
        <v/>
      </c>
      <c r="H11" s="271" t="str">
        <f>IF('KİŞİ BİLGİ'!E19&lt;&gt;0,'KİŞİ BİLGİ'!E19,"")</f>
        <v/>
      </c>
      <c r="I11" s="121">
        <f t="shared" si="18"/>
        <v>0</v>
      </c>
      <c r="J11" s="122">
        <f t="shared" si="19"/>
        <v>0</v>
      </c>
      <c r="K11" s="121">
        <f t="shared" si="20"/>
        <v>0</v>
      </c>
      <c r="L11" s="121">
        <f t="shared" si="21"/>
        <v>0</v>
      </c>
      <c r="M11" s="121">
        <f t="shared" si="22"/>
        <v>0</v>
      </c>
      <c r="N11" s="121">
        <f t="shared" si="23"/>
        <v>0</v>
      </c>
      <c r="O11" s="121">
        <f t="shared" si="24"/>
        <v>0</v>
      </c>
      <c r="P11" s="121">
        <f t="shared" si="25"/>
        <v>0</v>
      </c>
      <c r="Q11" s="121">
        <f t="shared" si="26"/>
        <v>0</v>
      </c>
      <c r="R11" s="121">
        <f t="shared" si="27"/>
        <v>0</v>
      </c>
      <c r="S11" s="121" t="str">
        <f>A.G.İ.!E13</f>
        <v/>
      </c>
      <c r="T11" s="121">
        <f t="shared" si="11"/>
        <v>0</v>
      </c>
      <c r="U11" s="121">
        <f t="shared" si="28"/>
        <v>0</v>
      </c>
      <c r="V11" s="121">
        <f t="shared" si="29"/>
        <v>0</v>
      </c>
      <c r="W11" s="121">
        <f t="shared" si="30"/>
        <v>0</v>
      </c>
      <c r="X11" s="224"/>
      <c r="Y11" s="224"/>
      <c r="Z11" s="121" t="str">
        <f t="shared" si="31"/>
        <v/>
      </c>
      <c r="AA11" s="123" t="str">
        <f t="shared" si="32"/>
        <v/>
      </c>
      <c r="AB11" s="106" t="str">
        <f>A.G.İ.TABLO!K7</f>
        <v>EH3</v>
      </c>
      <c r="AC11" s="106">
        <f>A.G.İ.TABLO!O7</f>
        <v>375.23</v>
      </c>
    </row>
    <row r="12" spans="1:29">
      <c r="A12" s="117">
        <f>IF('KİŞİ BİLGİ'!A20&lt;&gt;0,'KİŞİ BİLGİ'!A20,"")</f>
        <v>7</v>
      </c>
      <c r="B12" s="118" t="str">
        <f>IF('KİŞİ BİLGİ'!C20&lt;&gt;0,'KİŞİ BİLGİ'!C20,"")</f>
        <v/>
      </c>
      <c r="C12" s="119" t="str">
        <f>IF('KİŞİ BİLGİ'!B20&lt;&gt;0,'KİŞİ BİLGİ'!B20,"")</f>
        <v/>
      </c>
      <c r="D12" s="120" t="str">
        <f>IF('KİŞİ BİLGİ'!K20&lt;&gt;0,'KİŞİ BİLGİ'!K20,"")</f>
        <v/>
      </c>
      <c r="E12" s="120" t="str">
        <f>IF('KİŞİ BİLGİ'!L20&lt;&gt;0,'KİŞİ BİLGİ'!L20,"")</f>
        <v/>
      </c>
      <c r="F12" s="118" t="str">
        <f t="shared" si="17"/>
        <v/>
      </c>
      <c r="G12" s="271" t="str">
        <f>IF('KİŞİ BİLGİ'!D20&lt;&gt;0,'KİŞİ BİLGİ'!D20,"")</f>
        <v/>
      </c>
      <c r="H12" s="271" t="str">
        <f>IF('KİŞİ BİLGİ'!E20&lt;&gt;0,'KİŞİ BİLGİ'!E20,"")</f>
        <v/>
      </c>
      <c r="I12" s="121">
        <f t="shared" si="18"/>
        <v>0</v>
      </c>
      <c r="J12" s="122">
        <f t="shared" si="19"/>
        <v>0</v>
      </c>
      <c r="K12" s="121">
        <f t="shared" si="20"/>
        <v>0</v>
      </c>
      <c r="L12" s="121">
        <f t="shared" si="21"/>
        <v>0</v>
      </c>
      <c r="M12" s="121">
        <f t="shared" si="22"/>
        <v>0</v>
      </c>
      <c r="N12" s="121">
        <f t="shared" si="23"/>
        <v>0</v>
      </c>
      <c r="O12" s="121">
        <f t="shared" si="24"/>
        <v>0</v>
      </c>
      <c r="P12" s="121">
        <f t="shared" si="25"/>
        <v>0</v>
      </c>
      <c r="Q12" s="121">
        <f t="shared" si="26"/>
        <v>0</v>
      </c>
      <c r="R12" s="121">
        <f t="shared" si="27"/>
        <v>0</v>
      </c>
      <c r="S12" s="121" t="str">
        <f>A.G.İ.!E14</f>
        <v/>
      </c>
      <c r="T12" s="121">
        <f t="shared" si="11"/>
        <v>0</v>
      </c>
      <c r="U12" s="121">
        <f t="shared" si="28"/>
        <v>0</v>
      </c>
      <c r="V12" s="121">
        <f t="shared" si="29"/>
        <v>0</v>
      </c>
      <c r="W12" s="121">
        <f t="shared" si="30"/>
        <v>0</v>
      </c>
      <c r="X12" s="224"/>
      <c r="Y12" s="224"/>
      <c r="Z12" s="121" t="str">
        <f t="shared" si="31"/>
        <v/>
      </c>
      <c r="AA12" s="123" t="str">
        <f t="shared" si="32"/>
        <v/>
      </c>
      <c r="AB12" s="106" t="str">
        <f>A.G.İ.TABLO!K8</f>
        <v>EH4</v>
      </c>
      <c r="AC12" s="106">
        <f>A.G.İ.TABLO!O8</f>
        <v>375.23</v>
      </c>
    </row>
    <row r="13" spans="1:29">
      <c r="A13" s="117">
        <f>IF('KİŞİ BİLGİ'!A21&lt;&gt;0,'KİŞİ BİLGİ'!A21,"")</f>
        <v>8</v>
      </c>
      <c r="B13" s="118" t="str">
        <f>IF('KİŞİ BİLGİ'!C21&lt;&gt;0,'KİŞİ BİLGİ'!C21,"")</f>
        <v/>
      </c>
      <c r="C13" s="119" t="str">
        <f>IF('KİŞİ BİLGİ'!B21&lt;&gt;0,'KİŞİ BİLGİ'!B21,"")</f>
        <v/>
      </c>
      <c r="D13" s="120" t="str">
        <f>IF('KİŞİ BİLGİ'!K21&lt;&gt;0,'KİŞİ BİLGİ'!K21,"")</f>
        <v/>
      </c>
      <c r="E13" s="120" t="str">
        <f>IF('KİŞİ BİLGİ'!L21&lt;&gt;0,'KİŞİ BİLGİ'!L21,"")</f>
        <v/>
      </c>
      <c r="F13" s="118" t="str">
        <f t="shared" si="17"/>
        <v/>
      </c>
      <c r="G13" s="271" t="str">
        <f>IF('KİŞİ BİLGİ'!D21&lt;&gt;0,'KİŞİ BİLGİ'!D21,"")</f>
        <v/>
      </c>
      <c r="H13" s="271" t="str">
        <f>IF('KİŞİ BİLGİ'!E21&lt;&gt;0,'KİŞİ BİLGİ'!E21,"")</f>
        <v/>
      </c>
      <c r="I13" s="121">
        <f t="shared" si="18"/>
        <v>0</v>
      </c>
      <c r="J13" s="122">
        <f t="shared" si="19"/>
        <v>0</v>
      </c>
      <c r="K13" s="121">
        <f t="shared" si="20"/>
        <v>0</v>
      </c>
      <c r="L13" s="121">
        <f t="shared" si="21"/>
        <v>0</v>
      </c>
      <c r="M13" s="121">
        <f t="shared" si="22"/>
        <v>0</v>
      </c>
      <c r="N13" s="121">
        <f t="shared" si="23"/>
        <v>0</v>
      </c>
      <c r="O13" s="121">
        <f t="shared" si="24"/>
        <v>0</v>
      </c>
      <c r="P13" s="121">
        <f t="shared" si="25"/>
        <v>0</v>
      </c>
      <c r="Q13" s="121">
        <f t="shared" si="26"/>
        <v>0</v>
      </c>
      <c r="R13" s="121">
        <f t="shared" si="27"/>
        <v>0</v>
      </c>
      <c r="S13" s="121" t="str">
        <f>A.G.İ.!E15</f>
        <v/>
      </c>
      <c r="T13" s="121">
        <f t="shared" si="11"/>
        <v>0</v>
      </c>
      <c r="U13" s="121">
        <f t="shared" si="28"/>
        <v>0</v>
      </c>
      <c r="V13" s="121">
        <f t="shared" si="29"/>
        <v>0</v>
      </c>
      <c r="W13" s="121">
        <f t="shared" si="30"/>
        <v>0</v>
      </c>
      <c r="X13" s="224"/>
      <c r="Y13" s="224"/>
      <c r="Z13" s="121" t="str">
        <f t="shared" si="31"/>
        <v/>
      </c>
      <c r="AA13" s="123" t="str">
        <f t="shared" si="32"/>
        <v/>
      </c>
      <c r="AB13" s="106" t="str">
        <f>A.G.İ.TABLO!K9</f>
        <v>EE1</v>
      </c>
      <c r="AC13" s="106">
        <f>A.G.İ.TABLO!O9</f>
        <v>253.83</v>
      </c>
    </row>
    <row r="14" spans="1:29">
      <c r="A14" s="117">
        <f>IF('KİŞİ BİLGİ'!A22&lt;&gt;0,'KİŞİ BİLGİ'!A22,"")</f>
        <v>9</v>
      </c>
      <c r="B14" s="118" t="str">
        <f>IF('KİŞİ BİLGİ'!C22&lt;&gt;0,'KİŞİ BİLGİ'!C22,"")</f>
        <v/>
      </c>
      <c r="C14" s="119" t="str">
        <f>IF('KİŞİ BİLGİ'!B22&lt;&gt;0,'KİŞİ BİLGİ'!B22,"")</f>
        <v/>
      </c>
      <c r="D14" s="120" t="str">
        <f>IF('KİŞİ BİLGİ'!K22&lt;&gt;0,'KİŞİ BİLGİ'!K22,"")</f>
        <v/>
      </c>
      <c r="E14" s="120" t="str">
        <f>IF('KİŞİ BİLGİ'!L22&lt;&gt;0,'KİŞİ BİLGİ'!L22,"")</f>
        <v/>
      </c>
      <c r="F14" s="118" t="str">
        <f t="shared" si="17"/>
        <v/>
      </c>
      <c r="G14" s="271" t="str">
        <f>IF('KİŞİ BİLGİ'!D22&lt;&gt;0,'KİŞİ BİLGİ'!D22,"")</f>
        <v/>
      </c>
      <c r="H14" s="271" t="str">
        <f>IF('KİŞİ BİLGİ'!E22&lt;&gt;0,'KİŞİ BİLGİ'!E22,"")</f>
        <v/>
      </c>
      <c r="I14" s="121">
        <f t="shared" si="18"/>
        <v>0</v>
      </c>
      <c r="J14" s="122">
        <f t="shared" si="19"/>
        <v>0</v>
      </c>
      <c r="K14" s="121">
        <f t="shared" si="20"/>
        <v>0</v>
      </c>
      <c r="L14" s="121">
        <f t="shared" si="21"/>
        <v>0</v>
      </c>
      <c r="M14" s="121">
        <f t="shared" si="22"/>
        <v>0</v>
      </c>
      <c r="N14" s="121">
        <f t="shared" si="23"/>
        <v>0</v>
      </c>
      <c r="O14" s="121">
        <f t="shared" si="24"/>
        <v>0</v>
      </c>
      <c r="P14" s="121">
        <f t="shared" si="25"/>
        <v>0</v>
      </c>
      <c r="Q14" s="121">
        <f t="shared" si="26"/>
        <v>0</v>
      </c>
      <c r="R14" s="121">
        <f t="shared" si="27"/>
        <v>0</v>
      </c>
      <c r="S14" s="121" t="str">
        <f>A.G.İ.!E16</f>
        <v/>
      </c>
      <c r="T14" s="121">
        <f t="shared" si="11"/>
        <v>0</v>
      </c>
      <c r="U14" s="121">
        <f t="shared" si="28"/>
        <v>0</v>
      </c>
      <c r="V14" s="121">
        <f t="shared" si="29"/>
        <v>0</v>
      </c>
      <c r="W14" s="121">
        <f t="shared" si="30"/>
        <v>0</v>
      </c>
      <c r="X14" s="224"/>
      <c r="Y14" s="224"/>
      <c r="Z14" s="121" t="str">
        <f t="shared" si="31"/>
        <v/>
      </c>
      <c r="AA14" s="123" t="str">
        <f t="shared" si="32"/>
        <v/>
      </c>
      <c r="AB14" s="106" t="str">
        <f>A.G.İ.TABLO!K10</f>
        <v>EE2</v>
      </c>
      <c r="AC14" s="106">
        <f>A.G.İ.TABLO!O10</f>
        <v>286.94</v>
      </c>
    </row>
    <row r="15" spans="1:29">
      <c r="A15" s="117">
        <f>IF('KİŞİ BİLGİ'!A23&lt;&gt;0,'KİŞİ BİLGİ'!A23,"")</f>
        <v>10</v>
      </c>
      <c r="B15" s="118" t="str">
        <f>IF('KİŞİ BİLGİ'!C23&lt;&gt;0,'KİŞİ BİLGİ'!C23,"")</f>
        <v/>
      </c>
      <c r="C15" s="119" t="str">
        <f>IF('KİŞİ BİLGİ'!B23&lt;&gt;0,'KİŞİ BİLGİ'!B23,"")</f>
        <v/>
      </c>
      <c r="D15" s="120" t="str">
        <f>IF('KİŞİ BİLGİ'!K23&lt;&gt;0,'KİŞİ BİLGİ'!K23,"")</f>
        <v/>
      </c>
      <c r="E15" s="120" t="str">
        <f>IF('KİŞİ BİLGİ'!L23&lt;&gt;0,'KİŞİ BİLGİ'!L23,"")</f>
        <v/>
      </c>
      <c r="F15" s="118" t="str">
        <f t="shared" si="17"/>
        <v/>
      </c>
      <c r="G15" s="271" t="str">
        <f>IF('KİŞİ BİLGİ'!D23&lt;&gt;0,'KİŞİ BİLGİ'!D23,"")</f>
        <v/>
      </c>
      <c r="H15" s="271" t="str">
        <f>IF('KİŞİ BİLGİ'!E23&lt;&gt;0,'KİŞİ BİLGİ'!E23,"")</f>
        <v/>
      </c>
      <c r="I15" s="121">
        <f t="shared" si="18"/>
        <v>0</v>
      </c>
      <c r="J15" s="122">
        <f t="shared" si="19"/>
        <v>0</v>
      </c>
      <c r="K15" s="121">
        <f t="shared" si="20"/>
        <v>0</v>
      </c>
      <c r="L15" s="121">
        <f t="shared" si="21"/>
        <v>0</v>
      </c>
      <c r="M15" s="121">
        <f t="shared" si="22"/>
        <v>0</v>
      </c>
      <c r="N15" s="121">
        <f t="shared" si="23"/>
        <v>0</v>
      </c>
      <c r="O15" s="121">
        <f t="shared" si="24"/>
        <v>0</v>
      </c>
      <c r="P15" s="121">
        <f t="shared" si="25"/>
        <v>0</v>
      </c>
      <c r="Q15" s="121">
        <f t="shared" si="26"/>
        <v>0</v>
      </c>
      <c r="R15" s="121">
        <f t="shared" si="27"/>
        <v>0</v>
      </c>
      <c r="S15" s="121" t="str">
        <f>A.G.İ.!E17</f>
        <v/>
      </c>
      <c r="T15" s="121">
        <f t="shared" si="11"/>
        <v>0</v>
      </c>
      <c r="U15" s="121">
        <f t="shared" si="28"/>
        <v>0</v>
      </c>
      <c r="V15" s="121">
        <f t="shared" si="29"/>
        <v>0</v>
      </c>
      <c r="W15" s="121">
        <f t="shared" si="30"/>
        <v>0</v>
      </c>
      <c r="X15" s="224"/>
      <c r="Y15" s="224"/>
      <c r="Z15" s="121" t="str">
        <f t="shared" si="31"/>
        <v/>
      </c>
      <c r="AA15" s="123" t="str">
        <f t="shared" si="32"/>
        <v/>
      </c>
      <c r="AB15" s="106" t="str">
        <f>A.G.İ.TABLO!K11</f>
        <v>EE3</v>
      </c>
      <c r="AC15" s="106">
        <f>A.G.İ.TABLO!O11</f>
        <v>331.09</v>
      </c>
    </row>
    <row r="16" spans="1:29">
      <c r="A16" s="117">
        <f>IF('KİŞİ BİLGİ'!A24&lt;&gt;0,'KİŞİ BİLGİ'!A24,"")</f>
        <v>11</v>
      </c>
      <c r="B16" s="118" t="str">
        <f>IF('KİŞİ BİLGİ'!C24&lt;&gt;0,'KİŞİ BİLGİ'!C24,"")</f>
        <v/>
      </c>
      <c r="C16" s="119" t="str">
        <f>IF('KİŞİ BİLGİ'!B24&lt;&gt;0,'KİŞİ BİLGİ'!B24,"")</f>
        <v/>
      </c>
      <c r="D16" s="120" t="str">
        <f>IF('KİŞİ BİLGİ'!K24&lt;&gt;0,'KİŞİ BİLGİ'!K24,"")</f>
        <v/>
      </c>
      <c r="E16" s="120" t="str">
        <f>IF('KİŞİ BİLGİ'!L24&lt;&gt;0,'KİŞİ BİLGİ'!L24,"")</f>
        <v/>
      </c>
      <c r="F16" s="118" t="str">
        <f t="shared" si="17"/>
        <v/>
      </c>
      <c r="G16" s="271" t="str">
        <f>IF('KİŞİ BİLGİ'!D24&lt;&gt;0,'KİŞİ BİLGİ'!D24,"")</f>
        <v/>
      </c>
      <c r="H16" s="271" t="str">
        <f>IF('KİŞİ BİLGİ'!E24&lt;&gt;0,'KİŞİ BİLGİ'!E24,"")</f>
        <v/>
      </c>
      <c r="I16" s="121">
        <f t="shared" si="18"/>
        <v>0</v>
      </c>
      <c r="J16" s="122">
        <f t="shared" si="19"/>
        <v>0</v>
      </c>
      <c r="K16" s="121">
        <f t="shared" si="20"/>
        <v>0</v>
      </c>
      <c r="L16" s="121">
        <f t="shared" si="21"/>
        <v>0</v>
      </c>
      <c r="M16" s="121">
        <f t="shared" si="22"/>
        <v>0</v>
      </c>
      <c r="N16" s="121">
        <f t="shared" si="23"/>
        <v>0</v>
      </c>
      <c r="O16" s="121">
        <f t="shared" si="24"/>
        <v>0</v>
      </c>
      <c r="P16" s="121">
        <f t="shared" si="25"/>
        <v>0</v>
      </c>
      <c r="Q16" s="121">
        <f t="shared" si="26"/>
        <v>0</v>
      </c>
      <c r="R16" s="121">
        <f t="shared" si="27"/>
        <v>0</v>
      </c>
      <c r="S16" s="121" t="str">
        <f>A.G.İ.!E18</f>
        <v/>
      </c>
      <c r="T16" s="121">
        <f t="shared" si="11"/>
        <v>0</v>
      </c>
      <c r="U16" s="121">
        <f t="shared" si="28"/>
        <v>0</v>
      </c>
      <c r="V16" s="121">
        <f t="shared" si="29"/>
        <v>0</v>
      </c>
      <c r="W16" s="121">
        <f t="shared" si="30"/>
        <v>0</v>
      </c>
      <c r="X16" s="224"/>
      <c r="Y16" s="224"/>
      <c r="Z16" s="121" t="str">
        <f t="shared" si="31"/>
        <v/>
      </c>
      <c r="AA16" s="123" t="str">
        <f t="shared" si="32"/>
        <v/>
      </c>
      <c r="AB16" s="106" t="str">
        <f>A.G.İ.TABLO!K12</f>
        <v>EE4</v>
      </c>
      <c r="AC16" s="106">
        <f>A.G.İ.TABLO!O12</f>
        <v>353.16</v>
      </c>
    </row>
    <row r="17" spans="1:27">
      <c r="A17" s="117">
        <f>IF('KİŞİ BİLGİ'!A25&lt;&gt;0,'KİŞİ BİLGİ'!A25,"")</f>
        <v>12</v>
      </c>
      <c r="B17" s="118" t="str">
        <f>IF('KİŞİ BİLGİ'!C25&lt;&gt;0,'KİŞİ BİLGİ'!C25,"")</f>
        <v/>
      </c>
      <c r="C17" s="119" t="str">
        <f>IF('KİŞİ BİLGİ'!B25&lt;&gt;0,'KİŞİ BİLGİ'!B25,"")</f>
        <v/>
      </c>
      <c r="D17" s="120" t="str">
        <f>IF('KİŞİ BİLGİ'!K25&lt;&gt;0,'KİŞİ BİLGİ'!K25,"")</f>
        <v/>
      </c>
      <c r="E17" s="120" t="str">
        <f>IF('KİŞİ BİLGİ'!L25&lt;&gt;0,'KİŞİ BİLGİ'!L25,"")</f>
        <v/>
      </c>
      <c r="F17" s="118" t="str">
        <f t="shared" si="17"/>
        <v/>
      </c>
      <c r="G17" s="271" t="str">
        <f>IF('KİŞİ BİLGİ'!D25&lt;&gt;0,'KİŞİ BİLGİ'!D25,"")</f>
        <v/>
      </c>
      <c r="H17" s="271" t="str">
        <f>IF('KİŞİ BİLGİ'!E25&lt;&gt;0,'KİŞİ BİLGİ'!E25,"")</f>
        <v/>
      </c>
      <c r="I17" s="121">
        <f t="shared" si="18"/>
        <v>0</v>
      </c>
      <c r="J17" s="122">
        <f t="shared" si="19"/>
        <v>0</v>
      </c>
      <c r="K17" s="121">
        <f t="shared" si="20"/>
        <v>0</v>
      </c>
      <c r="L17" s="121">
        <f t="shared" si="21"/>
        <v>0</v>
      </c>
      <c r="M17" s="121">
        <f t="shared" si="22"/>
        <v>0</v>
      </c>
      <c r="N17" s="121">
        <f t="shared" si="23"/>
        <v>0</v>
      </c>
      <c r="O17" s="121">
        <f t="shared" si="24"/>
        <v>0</v>
      </c>
      <c r="P17" s="121">
        <f t="shared" si="25"/>
        <v>0</v>
      </c>
      <c r="Q17" s="121">
        <f t="shared" si="26"/>
        <v>0</v>
      </c>
      <c r="R17" s="121">
        <f t="shared" si="27"/>
        <v>0</v>
      </c>
      <c r="S17" s="121" t="str">
        <f>A.G.İ.!E19</f>
        <v/>
      </c>
      <c r="T17" s="121">
        <f t="shared" si="11"/>
        <v>0</v>
      </c>
      <c r="U17" s="121">
        <f t="shared" si="28"/>
        <v>0</v>
      </c>
      <c r="V17" s="121">
        <f t="shared" si="29"/>
        <v>0</v>
      </c>
      <c r="W17" s="121">
        <f t="shared" si="30"/>
        <v>0</v>
      </c>
      <c r="X17" s="224"/>
      <c r="Y17" s="224"/>
      <c r="Z17" s="121" t="str">
        <f t="shared" si="31"/>
        <v/>
      </c>
      <c r="AA17" s="123" t="str">
        <f t="shared" si="32"/>
        <v/>
      </c>
    </row>
    <row r="18" spans="1:27">
      <c r="A18" s="117">
        <f>IF('KİŞİ BİLGİ'!A26&lt;&gt;0,'KİŞİ BİLGİ'!A26,"")</f>
        <v>13</v>
      </c>
      <c r="B18" s="118" t="str">
        <f>IF('KİŞİ BİLGİ'!C26&lt;&gt;0,'KİŞİ BİLGİ'!C26,"")</f>
        <v/>
      </c>
      <c r="C18" s="119" t="str">
        <f>IF('KİŞİ BİLGİ'!B26&lt;&gt;0,'KİŞİ BİLGİ'!B26,"")</f>
        <v/>
      </c>
      <c r="D18" s="120" t="str">
        <f>IF('KİŞİ BİLGİ'!K26&lt;&gt;0,'KİŞİ BİLGİ'!K26,"")</f>
        <v/>
      </c>
      <c r="E18" s="120" t="str">
        <f>IF('KİŞİ BİLGİ'!L26&lt;&gt;0,'KİŞİ BİLGİ'!L26,"")</f>
        <v/>
      </c>
      <c r="F18" s="118" t="str">
        <f t="shared" si="17"/>
        <v/>
      </c>
      <c r="G18" s="271" t="str">
        <f>IF('KİŞİ BİLGİ'!D26&lt;&gt;0,'KİŞİ BİLGİ'!D26,"")</f>
        <v/>
      </c>
      <c r="H18" s="271" t="str">
        <f>IF('KİŞİ BİLGİ'!E26&lt;&gt;0,'KİŞİ BİLGİ'!E26,"")</f>
        <v/>
      </c>
      <c r="I18" s="121">
        <f t="shared" si="18"/>
        <v>0</v>
      </c>
      <c r="J18" s="122">
        <f t="shared" si="19"/>
        <v>0</v>
      </c>
      <c r="K18" s="121">
        <f t="shared" si="20"/>
        <v>0</v>
      </c>
      <c r="L18" s="121">
        <f t="shared" si="21"/>
        <v>0</v>
      </c>
      <c r="M18" s="121">
        <f t="shared" si="22"/>
        <v>0</v>
      </c>
      <c r="N18" s="121">
        <f t="shared" si="23"/>
        <v>0</v>
      </c>
      <c r="O18" s="121">
        <f t="shared" si="24"/>
        <v>0</v>
      </c>
      <c r="P18" s="121">
        <f t="shared" si="25"/>
        <v>0</v>
      </c>
      <c r="Q18" s="121">
        <f t="shared" si="26"/>
        <v>0</v>
      </c>
      <c r="R18" s="121">
        <f t="shared" si="27"/>
        <v>0</v>
      </c>
      <c r="S18" s="121" t="str">
        <f>A.G.İ.!E20</f>
        <v/>
      </c>
      <c r="T18" s="121">
        <f t="shared" si="11"/>
        <v>0</v>
      </c>
      <c r="U18" s="121">
        <f t="shared" si="28"/>
        <v>0</v>
      </c>
      <c r="V18" s="121">
        <f t="shared" si="29"/>
        <v>0</v>
      </c>
      <c r="W18" s="121">
        <f t="shared" si="30"/>
        <v>0</v>
      </c>
      <c r="X18" s="224"/>
      <c r="Y18" s="224"/>
      <c r="Z18" s="121" t="str">
        <f t="shared" si="31"/>
        <v/>
      </c>
      <c r="AA18" s="123" t="str">
        <f t="shared" si="32"/>
        <v/>
      </c>
    </row>
    <row r="19" spans="1:27">
      <c r="A19" s="117">
        <f>IF('KİŞİ BİLGİ'!A27&lt;&gt;0,'KİŞİ BİLGİ'!A27,"")</f>
        <v>14</v>
      </c>
      <c r="B19" s="118" t="str">
        <f>IF('KİŞİ BİLGİ'!C27&lt;&gt;0,'KİŞİ BİLGİ'!C27,"")</f>
        <v/>
      </c>
      <c r="C19" s="119" t="str">
        <f>IF('KİŞİ BİLGİ'!B27&lt;&gt;0,'KİŞİ BİLGİ'!B27,"")</f>
        <v/>
      </c>
      <c r="D19" s="120" t="str">
        <f>IF('KİŞİ BİLGİ'!K27&lt;&gt;0,'KİŞİ BİLGİ'!K27,"")</f>
        <v/>
      </c>
      <c r="E19" s="120" t="str">
        <f>IF('KİŞİ BİLGİ'!L27&lt;&gt;0,'KİŞİ BİLGİ'!L27,"")</f>
        <v/>
      </c>
      <c r="F19" s="118" t="str">
        <f t="shared" si="17"/>
        <v/>
      </c>
      <c r="G19" s="271" t="str">
        <f>IF('KİŞİ BİLGİ'!D27&lt;&gt;0,'KİŞİ BİLGİ'!D27,"")</f>
        <v/>
      </c>
      <c r="H19" s="271" t="str">
        <f>IF('KİŞİ BİLGİ'!E27&lt;&gt;0,'KİŞİ BİLGİ'!E27,"")</f>
        <v/>
      </c>
      <c r="I19" s="121">
        <f t="shared" si="18"/>
        <v>0</v>
      </c>
      <c r="J19" s="122">
        <f t="shared" si="19"/>
        <v>0</v>
      </c>
      <c r="K19" s="121">
        <f t="shared" si="20"/>
        <v>0</v>
      </c>
      <c r="L19" s="121">
        <f t="shared" si="21"/>
        <v>0</v>
      </c>
      <c r="M19" s="121">
        <f t="shared" si="22"/>
        <v>0</v>
      </c>
      <c r="N19" s="121">
        <f t="shared" si="23"/>
        <v>0</v>
      </c>
      <c r="O19" s="121">
        <f t="shared" si="24"/>
        <v>0</v>
      </c>
      <c r="P19" s="121">
        <f t="shared" si="25"/>
        <v>0</v>
      </c>
      <c r="Q19" s="121">
        <f t="shared" si="26"/>
        <v>0</v>
      </c>
      <c r="R19" s="121">
        <f t="shared" si="27"/>
        <v>0</v>
      </c>
      <c r="S19" s="121" t="str">
        <f>A.G.İ.!E21</f>
        <v/>
      </c>
      <c r="T19" s="121">
        <f t="shared" si="11"/>
        <v>0</v>
      </c>
      <c r="U19" s="121">
        <f t="shared" si="28"/>
        <v>0</v>
      </c>
      <c r="V19" s="121">
        <f t="shared" si="29"/>
        <v>0</v>
      </c>
      <c r="W19" s="121">
        <f t="shared" si="30"/>
        <v>0</v>
      </c>
      <c r="X19" s="224"/>
      <c r="Y19" s="224"/>
      <c r="Z19" s="121" t="str">
        <f t="shared" si="31"/>
        <v/>
      </c>
      <c r="AA19" s="123" t="str">
        <f t="shared" si="32"/>
        <v/>
      </c>
    </row>
    <row r="20" spans="1:27">
      <c r="A20" s="117">
        <f>IF('KİŞİ BİLGİ'!A28&lt;&gt;0,'KİŞİ BİLGİ'!A28,"")</f>
        <v>15</v>
      </c>
      <c r="B20" s="118" t="str">
        <f>IF('KİŞİ BİLGİ'!C28&lt;&gt;0,'KİŞİ BİLGİ'!C28,"")</f>
        <v/>
      </c>
      <c r="C20" s="119" t="str">
        <f>IF('KİŞİ BİLGİ'!B28&lt;&gt;0,'KİŞİ BİLGİ'!B28,"")</f>
        <v/>
      </c>
      <c r="D20" s="120" t="str">
        <f>IF('KİŞİ BİLGİ'!K28&lt;&gt;0,'KİŞİ BİLGİ'!K28,"")</f>
        <v/>
      </c>
      <c r="E20" s="120" t="str">
        <f>IF('KİŞİ BİLGİ'!L28&lt;&gt;0,'KİŞİ BİLGİ'!L28,"")</f>
        <v/>
      </c>
      <c r="F20" s="118" t="str">
        <f t="shared" si="17"/>
        <v/>
      </c>
      <c r="G20" s="271" t="str">
        <f>IF('KİŞİ BİLGİ'!D28&lt;&gt;0,'KİŞİ BİLGİ'!D28,"")</f>
        <v/>
      </c>
      <c r="H20" s="271" t="str">
        <f>IF('KİŞİ BİLGİ'!E28&lt;&gt;0,'KİŞİ BİLGİ'!E28,"")</f>
        <v/>
      </c>
      <c r="I20" s="121">
        <f t="shared" si="18"/>
        <v>0</v>
      </c>
      <c r="J20" s="122">
        <f t="shared" si="19"/>
        <v>0</v>
      </c>
      <c r="K20" s="121">
        <f t="shared" si="20"/>
        <v>0</v>
      </c>
      <c r="L20" s="121">
        <f t="shared" si="21"/>
        <v>0</v>
      </c>
      <c r="M20" s="121">
        <f t="shared" si="22"/>
        <v>0</v>
      </c>
      <c r="N20" s="121">
        <f t="shared" si="23"/>
        <v>0</v>
      </c>
      <c r="O20" s="121">
        <f t="shared" si="24"/>
        <v>0</v>
      </c>
      <c r="P20" s="121">
        <f t="shared" si="25"/>
        <v>0</v>
      </c>
      <c r="Q20" s="121">
        <f t="shared" si="26"/>
        <v>0</v>
      </c>
      <c r="R20" s="121">
        <f t="shared" si="27"/>
        <v>0</v>
      </c>
      <c r="S20" s="121" t="str">
        <f>A.G.İ.!E22</f>
        <v/>
      </c>
      <c r="T20" s="121">
        <f t="shared" si="11"/>
        <v>0</v>
      </c>
      <c r="U20" s="121">
        <f t="shared" si="28"/>
        <v>0</v>
      </c>
      <c r="V20" s="121">
        <f t="shared" si="29"/>
        <v>0</v>
      </c>
      <c r="W20" s="121">
        <f t="shared" si="30"/>
        <v>0</v>
      </c>
      <c r="X20" s="224"/>
      <c r="Y20" s="224"/>
      <c r="Z20" s="121" t="str">
        <f t="shared" si="31"/>
        <v/>
      </c>
      <c r="AA20" s="123" t="str">
        <f t="shared" si="32"/>
        <v/>
      </c>
    </row>
    <row r="21" spans="1:27">
      <c r="A21" s="117">
        <f>IF('KİŞİ BİLGİ'!A29&lt;&gt;0,'KİŞİ BİLGİ'!A29,"")</f>
        <v>16</v>
      </c>
      <c r="B21" s="118" t="str">
        <f>IF('KİŞİ BİLGİ'!C29&lt;&gt;0,'KİŞİ BİLGİ'!C29,"")</f>
        <v/>
      </c>
      <c r="C21" s="119" t="str">
        <f>IF('KİŞİ BİLGİ'!B29&lt;&gt;0,'KİŞİ BİLGİ'!B29,"")</f>
        <v/>
      </c>
      <c r="D21" s="120" t="str">
        <f>IF('KİŞİ BİLGİ'!K29&lt;&gt;0,'KİŞİ BİLGİ'!K29,"")</f>
        <v/>
      </c>
      <c r="E21" s="120" t="str">
        <f>IF('KİŞİ BİLGİ'!L29&lt;&gt;0,'KİŞİ BİLGİ'!L29,"")</f>
        <v/>
      </c>
      <c r="F21" s="118" t="str">
        <f t="shared" si="17"/>
        <v/>
      </c>
      <c r="G21" s="271" t="str">
        <f>IF('KİŞİ BİLGİ'!D29&lt;&gt;0,'KİŞİ BİLGİ'!D29,"")</f>
        <v/>
      </c>
      <c r="H21" s="271" t="str">
        <f>IF('KİŞİ BİLGİ'!E29&lt;&gt;0,'KİŞİ BİLGİ'!E29,"")</f>
        <v/>
      </c>
      <c r="I21" s="121">
        <f t="shared" si="18"/>
        <v>0</v>
      </c>
      <c r="J21" s="122">
        <f t="shared" si="19"/>
        <v>0</v>
      </c>
      <c r="K21" s="121">
        <f t="shared" si="20"/>
        <v>0</v>
      </c>
      <c r="L21" s="121">
        <f t="shared" si="21"/>
        <v>0</v>
      </c>
      <c r="M21" s="121">
        <f t="shared" si="22"/>
        <v>0</v>
      </c>
      <c r="N21" s="121">
        <f t="shared" si="23"/>
        <v>0</v>
      </c>
      <c r="O21" s="121">
        <f t="shared" si="24"/>
        <v>0</v>
      </c>
      <c r="P21" s="121">
        <f t="shared" si="25"/>
        <v>0</v>
      </c>
      <c r="Q21" s="121">
        <f t="shared" si="26"/>
        <v>0</v>
      </c>
      <c r="R21" s="121">
        <f t="shared" si="27"/>
        <v>0</v>
      </c>
      <c r="S21" s="121" t="str">
        <f>A.G.İ.!E23</f>
        <v/>
      </c>
      <c r="T21" s="121">
        <f t="shared" si="11"/>
        <v>0</v>
      </c>
      <c r="U21" s="121">
        <f t="shared" si="28"/>
        <v>0</v>
      </c>
      <c r="V21" s="121">
        <f t="shared" si="29"/>
        <v>0</v>
      </c>
      <c r="W21" s="121">
        <f t="shared" si="30"/>
        <v>0</v>
      </c>
      <c r="X21" s="224"/>
      <c r="Y21" s="224"/>
      <c r="Z21" s="121" t="str">
        <f t="shared" si="31"/>
        <v/>
      </c>
      <c r="AA21" s="123" t="str">
        <f t="shared" si="32"/>
        <v/>
      </c>
    </row>
    <row r="22" spans="1:27">
      <c r="A22" s="117">
        <f>IF('KİŞİ BİLGİ'!A30&lt;&gt;0,'KİŞİ BİLGİ'!A30,"")</f>
        <v>17</v>
      </c>
      <c r="B22" s="118" t="str">
        <f>IF('KİŞİ BİLGİ'!C30&lt;&gt;0,'KİŞİ BİLGİ'!C30,"")</f>
        <v/>
      </c>
      <c r="C22" s="119" t="str">
        <f>IF('KİŞİ BİLGİ'!B30&lt;&gt;0,'KİŞİ BİLGİ'!B30,"")</f>
        <v/>
      </c>
      <c r="D22" s="120" t="str">
        <f>IF('KİŞİ BİLGİ'!K30&lt;&gt;0,'KİŞİ BİLGİ'!K30,"")</f>
        <v/>
      </c>
      <c r="E22" s="120" t="str">
        <f>IF('KİŞİ BİLGİ'!L30&lt;&gt;0,'KİŞİ BİLGİ'!L30,"")</f>
        <v/>
      </c>
      <c r="F22" s="118" t="str">
        <f t="shared" si="17"/>
        <v/>
      </c>
      <c r="G22" s="271" t="str">
        <f>IF('KİŞİ BİLGİ'!D30&lt;&gt;0,'KİŞİ BİLGİ'!D30,"")</f>
        <v/>
      </c>
      <c r="H22" s="271" t="str">
        <f>IF('KİŞİ BİLGİ'!E30&lt;&gt;0,'KİŞİ BİLGİ'!E30,"")</f>
        <v/>
      </c>
      <c r="I22" s="121">
        <f t="shared" si="18"/>
        <v>0</v>
      </c>
      <c r="J22" s="122">
        <f t="shared" si="19"/>
        <v>0</v>
      </c>
      <c r="K22" s="121">
        <f t="shared" si="20"/>
        <v>0</v>
      </c>
      <c r="L22" s="121">
        <f t="shared" si="21"/>
        <v>0</v>
      </c>
      <c r="M22" s="121">
        <f t="shared" si="22"/>
        <v>0</v>
      </c>
      <c r="N22" s="121">
        <f t="shared" si="23"/>
        <v>0</v>
      </c>
      <c r="O22" s="121">
        <f t="shared" si="24"/>
        <v>0</v>
      </c>
      <c r="P22" s="121">
        <f t="shared" si="25"/>
        <v>0</v>
      </c>
      <c r="Q22" s="121">
        <f t="shared" si="26"/>
        <v>0</v>
      </c>
      <c r="R22" s="121">
        <f t="shared" si="27"/>
        <v>0</v>
      </c>
      <c r="S22" s="121" t="str">
        <f>A.G.İ.!E24</f>
        <v/>
      </c>
      <c r="T22" s="121">
        <f t="shared" si="11"/>
        <v>0</v>
      </c>
      <c r="U22" s="121">
        <f t="shared" si="28"/>
        <v>0</v>
      </c>
      <c r="V22" s="121">
        <f t="shared" si="29"/>
        <v>0</v>
      </c>
      <c r="W22" s="121">
        <f t="shared" si="30"/>
        <v>0</v>
      </c>
      <c r="X22" s="224"/>
      <c r="Y22" s="224"/>
      <c r="Z22" s="121" t="str">
        <f t="shared" si="31"/>
        <v/>
      </c>
      <c r="AA22" s="123" t="str">
        <f t="shared" si="32"/>
        <v/>
      </c>
    </row>
    <row r="23" spans="1:27">
      <c r="A23" s="117">
        <f>IF('KİŞİ BİLGİ'!A31&lt;&gt;0,'KİŞİ BİLGİ'!A31,"")</f>
        <v>18</v>
      </c>
      <c r="B23" s="118" t="str">
        <f>IF('KİŞİ BİLGİ'!C31&lt;&gt;0,'KİŞİ BİLGİ'!C31,"")</f>
        <v/>
      </c>
      <c r="C23" s="119" t="str">
        <f>IF('KİŞİ BİLGİ'!B31&lt;&gt;0,'KİŞİ BİLGİ'!B31,"")</f>
        <v/>
      </c>
      <c r="D23" s="120" t="str">
        <f>IF('KİŞİ BİLGİ'!K31&lt;&gt;0,'KİŞİ BİLGİ'!K31,"")</f>
        <v/>
      </c>
      <c r="E23" s="120" t="str">
        <f>IF('KİŞİ BİLGİ'!L31&lt;&gt;0,'KİŞİ BİLGİ'!L31,"")</f>
        <v/>
      </c>
      <c r="F23" s="118" t="str">
        <f t="shared" si="17"/>
        <v/>
      </c>
      <c r="G23" s="271" t="str">
        <f>IF('KİŞİ BİLGİ'!D31&lt;&gt;0,'KİŞİ BİLGİ'!D31,"")</f>
        <v/>
      </c>
      <c r="H23" s="271" t="str">
        <f>IF('KİŞİ BİLGİ'!E31&lt;&gt;0,'KİŞİ BİLGİ'!E31,"")</f>
        <v/>
      </c>
      <c r="I23" s="121">
        <f t="shared" si="18"/>
        <v>0</v>
      </c>
      <c r="J23" s="122">
        <f t="shared" si="19"/>
        <v>0</v>
      </c>
      <c r="K23" s="121">
        <f t="shared" si="20"/>
        <v>0</v>
      </c>
      <c r="L23" s="121">
        <f t="shared" si="21"/>
        <v>0</v>
      </c>
      <c r="M23" s="121">
        <f t="shared" si="22"/>
        <v>0</v>
      </c>
      <c r="N23" s="121">
        <f t="shared" si="23"/>
        <v>0</v>
      </c>
      <c r="O23" s="121">
        <f t="shared" si="24"/>
        <v>0</v>
      </c>
      <c r="P23" s="121">
        <f t="shared" si="25"/>
        <v>0</v>
      </c>
      <c r="Q23" s="121">
        <f t="shared" si="26"/>
        <v>0</v>
      </c>
      <c r="R23" s="121">
        <f t="shared" si="27"/>
        <v>0</v>
      </c>
      <c r="S23" s="121" t="str">
        <f>A.G.İ.!E25</f>
        <v/>
      </c>
      <c r="T23" s="121">
        <f t="shared" si="11"/>
        <v>0</v>
      </c>
      <c r="U23" s="121">
        <f t="shared" si="28"/>
        <v>0</v>
      </c>
      <c r="V23" s="121">
        <f t="shared" si="29"/>
        <v>0</v>
      </c>
      <c r="W23" s="121">
        <f t="shared" si="30"/>
        <v>0</v>
      </c>
      <c r="X23" s="224"/>
      <c r="Y23" s="224"/>
      <c r="Z23" s="121" t="str">
        <f t="shared" si="31"/>
        <v/>
      </c>
      <c r="AA23" s="123" t="str">
        <f t="shared" si="32"/>
        <v/>
      </c>
    </row>
    <row r="24" spans="1:27">
      <c r="A24" s="117">
        <f>IF('KİŞİ BİLGİ'!A32&lt;&gt;0,'KİŞİ BİLGİ'!A32,"")</f>
        <v>19</v>
      </c>
      <c r="B24" s="118" t="str">
        <f>IF('KİŞİ BİLGİ'!C32&lt;&gt;0,'KİŞİ BİLGİ'!C32,"")</f>
        <v/>
      </c>
      <c r="C24" s="119" t="str">
        <f>IF('KİŞİ BİLGİ'!B32&lt;&gt;0,'KİŞİ BİLGİ'!B32,"")</f>
        <v/>
      </c>
      <c r="D24" s="120" t="str">
        <f>IF('KİŞİ BİLGİ'!K32&lt;&gt;0,'KİŞİ BİLGİ'!K32,"")</f>
        <v/>
      </c>
      <c r="E24" s="120" t="str">
        <f>IF('KİŞİ BİLGİ'!L32&lt;&gt;0,'KİŞİ BİLGİ'!L32,"")</f>
        <v/>
      </c>
      <c r="F24" s="118" t="str">
        <f t="shared" si="17"/>
        <v/>
      </c>
      <c r="G24" s="271" t="str">
        <f>IF('KİŞİ BİLGİ'!D32&lt;&gt;0,'KİŞİ BİLGİ'!D32,"")</f>
        <v/>
      </c>
      <c r="H24" s="271" t="str">
        <f>IF('KİŞİ BİLGİ'!E32&lt;&gt;0,'KİŞİ BİLGİ'!E32,"")</f>
        <v/>
      </c>
      <c r="I24" s="121">
        <f t="shared" si="18"/>
        <v>0</v>
      </c>
      <c r="J24" s="122">
        <f t="shared" si="19"/>
        <v>0</v>
      </c>
      <c r="K24" s="121">
        <f t="shared" si="20"/>
        <v>0</v>
      </c>
      <c r="L24" s="121">
        <f t="shared" si="21"/>
        <v>0</v>
      </c>
      <c r="M24" s="121">
        <f t="shared" si="22"/>
        <v>0</v>
      </c>
      <c r="N24" s="121">
        <f t="shared" si="23"/>
        <v>0</v>
      </c>
      <c r="O24" s="121">
        <f t="shared" si="24"/>
        <v>0</v>
      </c>
      <c r="P24" s="121">
        <f t="shared" si="25"/>
        <v>0</v>
      </c>
      <c r="Q24" s="121">
        <f t="shared" si="26"/>
        <v>0</v>
      </c>
      <c r="R24" s="121">
        <f t="shared" si="27"/>
        <v>0</v>
      </c>
      <c r="S24" s="121" t="str">
        <f>A.G.İ.!E26</f>
        <v/>
      </c>
      <c r="T24" s="121">
        <f t="shared" si="11"/>
        <v>0</v>
      </c>
      <c r="U24" s="121">
        <f t="shared" si="28"/>
        <v>0</v>
      </c>
      <c r="V24" s="121">
        <f t="shared" si="29"/>
        <v>0</v>
      </c>
      <c r="W24" s="121">
        <f t="shared" si="30"/>
        <v>0</v>
      </c>
      <c r="X24" s="224"/>
      <c r="Y24" s="224"/>
      <c r="Z24" s="121" t="str">
        <f t="shared" si="31"/>
        <v/>
      </c>
      <c r="AA24" s="123" t="str">
        <f t="shared" si="32"/>
        <v/>
      </c>
    </row>
    <row r="25" spans="1:27" ht="11.25" customHeight="1">
      <c r="A25" s="117">
        <f>IF('KİŞİ BİLGİ'!A33&lt;&gt;0,'KİŞİ BİLGİ'!A33,"")</f>
        <v>20</v>
      </c>
      <c r="B25" s="118" t="str">
        <f>IF('KİŞİ BİLGİ'!C33&lt;&gt;0,'KİŞİ BİLGİ'!C33,"")</f>
        <v/>
      </c>
      <c r="C25" s="119" t="str">
        <f>IF('KİŞİ BİLGİ'!B33&lt;&gt;0,'KİŞİ BİLGİ'!B33,"")</f>
        <v/>
      </c>
      <c r="D25" s="120" t="str">
        <f>IF('KİŞİ BİLGİ'!K33&lt;&gt;0,'KİŞİ BİLGİ'!K33,"")</f>
        <v/>
      </c>
      <c r="E25" s="120" t="str">
        <f>IF('KİŞİ BİLGİ'!L33&lt;&gt;0,'KİŞİ BİLGİ'!L33,"")</f>
        <v/>
      </c>
      <c r="F25" s="118" t="str">
        <f t="shared" si="17"/>
        <v/>
      </c>
      <c r="G25" s="271" t="str">
        <f>IF('KİŞİ BİLGİ'!D33&lt;&gt;0,'KİŞİ BİLGİ'!D33,"")</f>
        <v/>
      </c>
      <c r="H25" s="271" t="str">
        <f>IF('KİŞİ BİLGİ'!E33&lt;&gt;0,'KİŞİ BİLGİ'!E33,"")</f>
        <v/>
      </c>
      <c r="I25" s="121">
        <f t="shared" si="18"/>
        <v>0</v>
      </c>
      <c r="J25" s="122">
        <f t="shared" si="19"/>
        <v>0</v>
      </c>
      <c r="K25" s="121">
        <f t="shared" si="20"/>
        <v>0</v>
      </c>
      <c r="L25" s="121">
        <f t="shared" si="21"/>
        <v>0</v>
      </c>
      <c r="M25" s="121">
        <f t="shared" si="22"/>
        <v>0</v>
      </c>
      <c r="N25" s="121">
        <f t="shared" si="23"/>
        <v>0</v>
      </c>
      <c r="O25" s="121">
        <f t="shared" si="24"/>
        <v>0</v>
      </c>
      <c r="P25" s="121">
        <f t="shared" si="25"/>
        <v>0</v>
      </c>
      <c r="Q25" s="121">
        <f t="shared" si="26"/>
        <v>0</v>
      </c>
      <c r="R25" s="121">
        <f t="shared" si="27"/>
        <v>0</v>
      </c>
      <c r="S25" s="121" t="str">
        <f>A.G.İ.!E27</f>
        <v/>
      </c>
      <c r="T25" s="121">
        <f t="shared" si="11"/>
        <v>0</v>
      </c>
      <c r="U25" s="121">
        <f t="shared" si="28"/>
        <v>0</v>
      </c>
      <c r="V25" s="121">
        <f t="shared" si="29"/>
        <v>0</v>
      </c>
      <c r="W25" s="121">
        <f t="shared" si="30"/>
        <v>0</v>
      </c>
      <c r="X25" s="224"/>
      <c r="Y25" s="224"/>
      <c r="Z25" s="121" t="str">
        <f t="shared" si="31"/>
        <v/>
      </c>
      <c r="AA25" s="123" t="str">
        <f t="shared" si="32"/>
        <v/>
      </c>
    </row>
    <row r="26" spans="1:27" ht="13.5" customHeight="1" thickBot="1">
      <c r="A26" s="371" t="s">
        <v>23</v>
      </c>
      <c r="B26" s="372"/>
      <c r="C26" s="372"/>
      <c r="D26" s="373"/>
      <c r="E26" s="124"/>
      <c r="F26" s="125">
        <f t="shared" ref="F26:AA26" si="33">SUM(F6:F25)</f>
        <v>42</v>
      </c>
      <c r="G26" s="126">
        <f t="shared" si="33"/>
        <v>295</v>
      </c>
      <c r="H26" s="126"/>
      <c r="I26" s="127">
        <f t="shared" si="33"/>
        <v>6032.3193000000001</v>
      </c>
      <c r="J26" s="127">
        <f t="shared" si="33"/>
        <v>1236.6400000000001</v>
      </c>
      <c r="K26" s="127">
        <f t="shared" si="33"/>
        <v>7268.9593000000004</v>
      </c>
      <c r="L26" s="127">
        <f>SUM(L6:L25)-L29</f>
        <v>6032.3193000000001</v>
      </c>
      <c r="M26" s="270">
        <f>SUM(M6:M25)</f>
        <v>452.43394750000004</v>
      </c>
      <c r="N26" s="270">
        <f>SUM(N6:N25)</f>
        <v>663.55512299999998</v>
      </c>
      <c r="O26" s="270">
        <f>SUM(O6:O25)</f>
        <v>120.64638600000001</v>
      </c>
      <c r="P26" s="127">
        <f>SUM(P6:P25)</f>
        <v>301.61596500000007</v>
      </c>
      <c r="Q26" s="127">
        <f>SUM(Q6:Q25)</f>
        <v>542.90873700000009</v>
      </c>
      <c r="R26" s="127">
        <f t="shared" si="33"/>
        <v>5187.7945980000004</v>
      </c>
      <c r="S26" s="127">
        <f t="shared" si="33"/>
        <v>1390.56</v>
      </c>
      <c r="T26" s="127">
        <f t="shared" si="33"/>
        <v>778.16918970000006</v>
      </c>
      <c r="U26" s="127">
        <f t="shared" si="33"/>
        <v>778.16918970000006</v>
      </c>
      <c r="V26" s="127">
        <f t="shared" si="33"/>
        <v>0</v>
      </c>
      <c r="W26" s="127">
        <f t="shared" si="33"/>
        <v>45.785303487000007</v>
      </c>
      <c r="X26" s="127">
        <f t="shared" si="33"/>
        <v>0</v>
      </c>
      <c r="Y26" s="127">
        <f t="shared" si="33"/>
        <v>0</v>
      </c>
      <c r="Z26" s="127">
        <f t="shared" si="33"/>
        <v>2126.9454619870003</v>
      </c>
      <c r="AA26" s="128">
        <f t="shared" si="33"/>
        <v>5142.0138380130002</v>
      </c>
    </row>
    <row r="27" spans="1:27" ht="9.9499999999999993" customHeight="1" thickTop="1">
      <c r="B27" s="129"/>
      <c r="C27" s="130"/>
      <c r="D27" s="131"/>
      <c r="E27" s="107"/>
    </row>
    <row r="28" spans="1:27" ht="12" thickBot="1">
      <c r="N28" s="146" t="s">
        <v>188</v>
      </c>
      <c r="O28" s="146"/>
      <c r="P28" s="145">
        <f>SUM(M26:Q26)</f>
        <v>2081.1601585000003</v>
      </c>
      <c r="Q28" s="145"/>
    </row>
    <row r="29" spans="1:27" ht="12" thickBot="1">
      <c r="N29" s="261">
        <v>0.01</v>
      </c>
      <c r="O29" s="264"/>
    </row>
  </sheetData>
  <sheetProtection password="CEE9" sheet="1" objects="1" scenarios="1"/>
  <mergeCells count="28">
    <mergeCell ref="A2:B2"/>
    <mergeCell ref="A3:B3"/>
    <mergeCell ref="R4:R5"/>
    <mergeCell ref="F4:F5"/>
    <mergeCell ref="G4:G5"/>
    <mergeCell ref="F2:R2"/>
    <mergeCell ref="L4:L5"/>
    <mergeCell ref="J4:J5"/>
    <mergeCell ref="C4:C5"/>
    <mergeCell ref="M4:Q4"/>
    <mergeCell ref="H4:H5"/>
    <mergeCell ref="V2:X2"/>
    <mergeCell ref="U4:U5"/>
    <mergeCell ref="D4:D5"/>
    <mergeCell ref="F3:R3"/>
    <mergeCell ref="K4:K5"/>
    <mergeCell ref="E4:E5"/>
    <mergeCell ref="U3:V3"/>
    <mergeCell ref="W3:AA3"/>
    <mergeCell ref="W4:W5"/>
    <mergeCell ref="AA4:AA5"/>
    <mergeCell ref="X4:X5"/>
    <mergeCell ref="A26:D26"/>
    <mergeCell ref="I4:I5"/>
    <mergeCell ref="A4:A5"/>
    <mergeCell ref="Z4:Z5"/>
    <mergeCell ref="B4:B5"/>
    <mergeCell ref="Y4:Y5"/>
  </mergeCells>
  <phoneticPr fontId="2" type="noConversion"/>
  <pageMargins left="0.37" right="0.15" top="0.42" bottom="0.42" header="0.38" footer="0.31496062992125984"/>
  <pageSetup paperSize="9" scale="90" fitToWidth="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topLeftCell="A11" workbookViewId="0">
      <selection activeCell="G15" sqref="G15"/>
    </sheetView>
  </sheetViews>
  <sheetFormatPr defaultRowHeight="13.5"/>
  <cols>
    <col min="1" max="1" width="5" style="76" customWidth="1"/>
    <col min="2" max="2" width="11.42578125" style="85" customWidth="1"/>
    <col min="3" max="3" width="12.140625" style="92" bestFit="1" customWidth="1"/>
    <col min="4" max="4" width="18.7109375" style="91" bestFit="1" customWidth="1"/>
    <col min="5" max="5" width="12.7109375" style="91" customWidth="1"/>
    <col min="6" max="6" width="14" style="93" customWidth="1"/>
    <col min="7" max="7" width="13.5703125" style="93" customWidth="1"/>
    <col min="8" max="16384" width="9.140625" style="76"/>
  </cols>
  <sheetData>
    <row r="1" spans="2:7" ht="13.5" hidden="1" customHeight="1">
      <c r="B1" s="47"/>
      <c r="C1" s="73"/>
      <c r="D1" s="74"/>
      <c r="E1" s="74"/>
      <c r="F1" s="75"/>
      <c r="G1" s="75"/>
    </row>
    <row r="2" spans="2:7" ht="13.5" hidden="1" customHeight="1">
      <c r="B2" s="47"/>
      <c r="C2" s="73"/>
      <c r="D2" s="74"/>
      <c r="E2" s="74"/>
      <c r="F2" s="75"/>
      <c r="G2" s="75"/>
    </row>
    <row r="3" spans="2:7" ht="13.5" hidden="1" customHeight="1">
      <c r="B3" s="47"/>
      <c r="C3" s="73"/>
      <c r="D3" s="74"/>
      <c r="E3" s="74"/>
      <c r="F3" s="75"/>
      <c r="G3" s="75"/>
    </row>
    <row r="4" spans="2:7" ht="13.5" hidden="1" customHeight="1">
      <c r="B4" s="47"/>
      <c r="C4" s="73"/>
      <c r="D4" s="74"/>
      <c r="E4" s="74"/>
      <c r="F4" s="75"/>
      <c r="G4" s="75"/>
    </row>
    <row r="5" spans="2:7" ht="13.5" hidden="1" customHeight="1">
      <c r="B5" s="47"/>
      <c r="C5" s="73"/>
      <c r="D5" s="74"/>
      <c r="E5" s="74"/>
      <c r="F5" s="75"/>
      <c r="G5" s="75"/>
    </row>
    <row r="6" spans="2:7" ht="13.5" hidden="1" customHeight="1">
      <c r="B6" s="47"/>
      <c r="C6" s="73"/>
      <c r="D6" s="74"/>
      <c r="E6" s="74"/>
      <c r="F6" s="75"/>
      <c r="G6" s="75"/>
    </row>
    <row r="7" spans="2:7" ht="16.5" customHeight="1">
      <c r="B7" s="409" t="s">
        <v>131</v>
      </c>
      <c r="C7" s="409"/>
      <c r="D7" s="409"/>
      <c r="E7" s="409"/>
      <c r="F7" s="409"/>
      <c r="G7" s="409"/>
    </row>
    <row r="8" spans="2:7" ht="42.75" customHeight="1">
      <c r="B8" s="77" t="s">
        <v>132</v>
      </c>
      <c r="C8" s="410" t="str">
        <f>'KİŞİ BİLGİ'!$B$11</f>
        <v>ATATÜRK ANADOLU LİSESİ MÜDÜRLÜĞÜ</v>
      </c>
      <c r="D8" s="411"/>
      <c r="E8" s="74"/>
      <c r="F8" s="77" t="s">
        <v>151</v>
      </c>
      <c r="G8" s="95">
        <f>BORDRO!$I$26</f>
        <v>6032.3193000000001</v>
      </c>
    </row>
    <row r="9" spans="2:7" ht="25.5" customHeight="1">
      <c r="B9" s="77" t="s">
        <v>133</v>
      </c>
      <c r="C9" s="79" t="str">
        <f>'KİŞİ BİLGİ'!$K$12</f>
        <v>HAZİRAN</v>
      </c>
      <c r="D9" s="77">
        <f>'KİŞİ BİLGİ'!$L$12</f>
        <v>2016</v>
      </c>
      <c r="E9" s="74"/>
      <c r="F9" s="77" t="s">
        <v>152</v>
      </c>
      <c r="G9" s="96">
        <f>$G$32</f>
        <v>2081.164702</v>
      </c>
    </row>
    <row r="10" spans="2:7" ht="15" customHeight="1" thickBot="1">
      <c r="B10" s="77"/>
      <c r="C10" s="412"/>
      <c r="D10" s="413"/>
      <c r="E10" s="74"/>
      <c r="F10" s="74"/>
      <c r="G10" s="74"/>
    </row>
    <row r="11" spans="2:7" s="85" customFormat="1" ht="40.5" customHeight="1" thickTop="1">
      <c r="B11" s="80" t="s">
        <v>84</v>
      </c>
      <c r="C11" s="81" t="s">
        <v>134</v>
      </c>
      <c r="D11" s="82" t="s">
        <v>0</v>
      </c>
      <c r="E11" s="77" t="s">
        <v>137</v>
      </c>
      <c r="F11" s="83" t="s">
        <v>138</v>
      </c>
      <c r="G11" s="84" t="s">
        <v>135</v>
      </c>
    </row>
    <row r="12" spans="2:7" ht="15" customHeight="1">
      <c r="B12" s="77">
        <f>IF(BORDRO!A6&lt;&gt;0,BORDRO!A6,"")</f>
        <v>1</v>
      </c>
      <c r="C12" s="86" t="str">
        <f>IF(BORDRO!B6&lt;&gt;0,BORDRO!B6,"")</f>
        <v/>
      </c>
      <c r="D12" s="78" t="str">
        <f>IF(BORDRO!C6&lt;&gt;0,BORDRO!C6,"")</f>
        <v/>
      </c>
      <c r="E12" s="87">
        <f>IF(BORDRO!J6&lt;&gt;0,BORDRO!J6,"")</f>
        <v>226.38</v>
      </c>
      <c r="F12" s="88">
        <f>IF(BORDRO!P6&lt;&gt;0,SUM(BORDRO!P6:'BORDRO'!Q6)," ")</f>
        <v>154.59096240000002</v>
      </c>
      <c r="G12" s="88">
        <f>IF(AND(E12&lt;&gt;"",F12&lt;&gt;""),E12+F12,"")</f>
        <v>380.97096240000002</v>
      </c>
    </row>
    <row r="13" spans="2:7" ht="15" customHeight="1">
      <c r="B13" s="77">
        <f>IF(BORDRO!A7&lt;&gt;0,BORDRO!A7,"")</f>
        <v>2</v>
      </c>
      <c r="C13" s="86" t="str">
        <f>IF(BORDRO!B7&lt;&gt;0,BORDRO!B7,"")</f>
        <v/>
      </c>
      <c r="D13" s="262" t="str">
        <f>IF(BORDRO!C7&lt;&gt;0,BORDRO!C7,"")</f>
        <v/>
      </c>
      <c r="E13" s="87">
        <f>IF(BORDRO!J7&lt;&gt;0,BORDRO!J7,"")</f>
        <v>201.21</v>
      </c>
      <c r="F13" s="88">
        <f>IF(BORDRO!P7&lt;&gt;0,SUM(BORDRO!P7:'BORDRO'!Q7)," ")</f>
        <v>137.41418880000001</v>
      </c>
      <c r="G13" s="88">
        <f t="shared" ref="G13:G31" si="0">IF(AND(E13&lt;&gt;"",F13&lt;&gt;""),E13+F13,"")</f>
        <v>338.62418880000001</v>
      </c>
    </row>
    <row r="14" spans="2:7" ht="15" customHeight="1">
      <c r="B14" s="77">
        <f>IF(BORDRO!A8&lt;&gt;0,BORDRO!A8,"")</f>
        <v>3</v>
      </c>
      <c r="C14" s="86" t="str">
        <f>IF(BORDRO!B8&lt;&gt;0,BORDRO!B8,"")</f>
        <v/>
      </c>
      <c r="D14" s="262" t="str">
        <f>IF(BORDRO!C8&lt;&gt;0,BORDRO!C8,"")</f>
        <v/>
      </c>
      <c r="E14" s="87">
        <f>IF(BORDRO!J8&lt;&gt;0,BORDRO!J8,"")</f>
        <v>301.82</v>
      </c>
      <c r="F14" s="88">
        <f>IF(BORDRO!P8&lt;&gt;0,SUM(BORDRO!P8:'BORDRO'!Q8)," ")</f>
        <v>206.12128320000005</v>
      </c>
      <c r="G14" s="88">
        <f t="shared" si="0"/>
        <v>507.94128320000004</v>
      </c>
    </row>
    <row r="15" spans="2:7" ht="15" customHeight="1">
      <c r="B15" s="77">
        <f>IF(BORDRO!A9&lt;&gt;0,BORDRO!A9,"")</f>
        <v>4</v>
      </c>
      <c r="C15" s="86" t="str">
        <f>IF(BORDRO!B9&lt;&gt;0,BORDRO!B9,"")</f>
        <v/>
      </c>
      <c r="D15" s="262" t="str">
        <f>IF(BORDRO!C9&lt;&gt;0,BORDRO!C9,"")</f>
        <v/>
      </c>
      <c r="E15" s="87">
        <f>IF(BORDRO!J9&lt;&gt;0,BORDRO!J9,"")</f>
        <v>209.6</v>
      </c>
      <c r="F15" s="88">
        <f>IF(BORDRO!P9&lt;&gt;0,SUM(BORDRO!P9:'BORDRO'!Q9)," ")</f>
        <v>143.13978</v>
      </c>
      <c r="G15" s="88">
        <f t="shared" si="0"/>
        <v>352.73978</v>
      </c>
    </row>
    <row r="16" spans="2:7" ht="15" customHeight="1">
      <c r="B16" s="77">
        <f>IF(BORDRO!A10&lt;&gt;0,BORDRO!A10,"")</f>
        <v>5</v>
      </c>
      <c r="C16" s="86" t="str">
        <f>IF(BORDRO!B10&lt;&gt;0,BORDRO!B10,"")</f>
        <v/>
      </c>
      <c r="D16" s="262" t="str">
        <f>IF(BORDRO!C10&lt;&gt;0,BORDRO!C10,"")</f>
        <v/>
      </c>
      <c r="E16" s="87">
        <f>IF(BORDRO!J10&lt;&gt;0,BORDRO!J10,"")</f>
        <v>297.63</v>
      </c>
      <c r="F16" s="88">
        <f>IF(BORDRO!P10&lt;&gt;0,SUM(BORDRO!P10:'BORDRO'!Q10)," ")</f>
        <v>203.25848760000002</v>
      </c>
      <c r="G16" s="88">
        <f t="shared" si="0"/>
        <v>500.88848760000002</v>
      </c>
    </row>
    <row r="17" spans="2:7" ht="15" customHeight="1">
      <c r="B17" s="77">
        <f>IF(BORDRO!A11&lt;&gt;0,BORDRO!A11,"")</f>
        <v>6</v>
      </c>
      <c r="C17" s="86" t="str">
        <f>IF(BORDRO!B11&lt;&gt;0,BORDRO!B11,"")</f>
        <v/>
      </c>
      <c r="D17" s="262" t="str">
        <f>IF(BORDRO!C11&lt;&gt;0,BORDRO!C11,"")</f>
        <v/>
      </c>
      <c r="E17" s="87" t="str">
        <f>IF(BORDRO!J11&lt;&gt;0,BORDRO!J11,"")</f>
        <v/>
      </c>
      <c r="F17" s="88" t="str">
        <f>IF(BORDRO!P11&lt;&gt;0,SUM(BORDRO!P11:'BORDRO'!Q11)," ")</f>
        <v xml:space="preserve"> </v>
      </c>
      <c r="G17" s="88" t="str">
        <f t="shared" si="0"/>
        <v/>
      </c>
    </row>
    <row r="18" spans="2:7" ht="15" customHeight="1">
      <c r="B18" s="77">
        <f>IF(BORDRO!A12&lt;&gt;0,BORDRO!A12,"")</f>
        <v>7</v>
      </c>
      <c r="C18" s="86" t="str">
        <f>IF(BORDRO!B12&lt;&gt;0,BORDRO!B12,"")</f>
        <v/>
      </c>
      <c r="D18" s="262" t="str">
        <f>IF(BORDRO!C12&lt;&gt;0,BORDRO!C12,"")</f>
        <v/>
      </c>
      <c r="E18" s="87" t="str">
        <f>IF(BORDRO!J12&lt;&gt;0,BORDRO!J12,"")</f>
        <v/>
      </c>
      <c r="F18" s="88" t="str">
        <f>IF(BORDRO!P12&lt;&gt;0,SUM(BORDRO!P12:'BORDRO'!Q12)," ")</f>
        <v xml:space="preserve"> </v>
      </c>
      <c r="G18" s="88" t="str">
        <f t="shared" si="0"/>
        <v/>
      </c>
    </row>
    <row r="19" spans="2:7" ht="15" customHeight="1">
      <c r="B19" s="77">
        <f>IF(BORDRO!A13&lt;&gt;0,BORDRO!A13,"")</f>
        <v>8</v>
      </c>
      <c r="C19" s="86" t="str">
        <f>IF(BORDRO!B13&lt;&gt;0,BORDRO!B13,"")</f>
        <v/>
      </c>
      <c r="D19" s="262" t="str">
        <f>IF(BORDRO!C13&lt;&gt;0,BORDRO!C13,"")</f>
        <v/>
      </c>
      <c r="E19" s="87" t="str">
        <f>IF(BORDRO!J13&lt;&gt;0,BORDRO!J13,"")</f>
        <v/>
      </c>
      <c r="F19" s="88" t="str">
        <f>IF(BORDRO!P13&lt;&gt;0,SUM(BORDRO!P13:'BORDRO'!Q13)," ")</f>
        <v xml:space="preserve"> </v>
      </c>
      <c r="G19" s="88" t="str">
        <f t="shared" si="0"/>
        <v/>
      </c>
    </row>
    <row r="20" spans="2:7" ht="15" customHeight="1">
      <c r="B20" s="77">
        <f>IF(BORDRO!A14&lt;&gt;0,BORDRO!A14,"")</f>
        <v>9</v>
      </c>
      <c r="C20" s="86" t="str">
        <f>IF(BORDRO!B14&lt;&gt;0,BORDRO!B14,"")</f>
        <v/>
      </c>
      <c r="D20" s="262" t="str">
        <f>IF(BORDRO!C14&lt;&gt;0,BORDRO!C14,"")</f>
        <v/>
      </c>
      <c r="E20" s="87" t="str">
        <f>IF(BORDRO!J14&lt;&gt;0,BORDRO!J14,"")</f>
        <v/>
      </c>
      <c r="F20" s="88" t="str">
        <f>IF(BORDRO!P14&lt;&gt;0,SUM(BORDRO!P14:'BORDRO'!Q14)," ")</f>
        <v xml:space="preserve"> </v>
      </c>
      <c r="G20" s="88" t="str">
        <f t="shared" si="0"/>
        <v/>
      </c>
    </row>
    <row r="21" spans="2:7" ht="15" customHeight="1">
      <c r="B21" s="77">
        <f>IF(BORDRO!A15&lt;&gt;0,BORDRO!A15,"")</f>
        <v>10</v>
      </c>
      <c r="C21" s="86" t="str">
        <f>IF(BORDRO!B15&lt;&gt;0,BORDRO!B15,"")</f>
        <v/>
      </c>
      <c r="D21" s="262" t="str">
        <f>IF(BORDRO!C15&lt;&gt;0,BORDRO!C15,"")</f>
        <v/>
      </c>
      <c r="E21" s="87" t="str">
        <f>IF(BORDRO!J15&lt;&gt;0,BORDRO!J15,"")</f>
        <v/>
      </c>
      <c r="F21" s="88" t="str">
        <f>IF(BORDRO!P15&lt;&gt;0,SUM(BORDRO!P15:'BORDRO'!Q15)," ")</f>
        <v xml:space="preserve"> </v>
      </c>
      <c r="G21" s="88" t="str">
        <f t="shared" si="0"/>
        <v/>
      </c>
    </row>
    <row r="22" spans="2:7" ht="15" customHeight="1">
      <c r="B22" s="77">
        <f>IF(BORDRO!A16&lt;&gt;0,BORDRO!A16,"")</f>
        <v>11</v>
      </c>
      <c r="C22" s="86" t="str">
        <f>IF(BORDRO!B16&lt;&gt;0,BORDRO!B16,"")</f>
        <v/>
      </c>
      <c r="D22" s="262" t="str">
        <f>IF(BORDRO!C16&lt;&gt;0,BORDRO!C16,"")</f>
        <v/>
      </c>
      <c r="E22" s="87" t="str">
        <f>IF(BORDRO!J16&lt;&gt;0,BORDRO!J16,"")</f>
        <v/>
      </c>
      <c r="F22" s="88" t="str">
        <f>IF(BORDRO!P16&lt;&gt;0,SUM(BORDRO!P16:'BORDRO'!Q16)," ")</f>
        <v xml:space="preserve"> </v>
      </c>
      <c r="G22" s="88" t="str">
        <f t="shared" si="0"/>
        <v/>
      </c>
    </row>
    <row r="23" spans="2:7" ht="15" customHeight="1">
      <c r="B23" s="77">
        <f>IF(BORDRO!A17&lt;&gt;0,BORDRO!A17,"")</f>
        <v>12</v>
      </c>
      <c r="C23" s="86" t="str">
        <f>IF(BORDRO!B17&lt;&gt;0,BORDRO!B17,"")</f>
        <v/>
      </c>
      <c r="D23" s="262" t="str">
        <f>IF(BORDRO!C17&lt;&gt;0,BORDRO!C17,"")</f>
        <v/>
      </c>
      <c r="E23" s="87" t="str">
        <f>IF(BORDRO!J17&lt;&gt;0,BORDRO!J17,"")</f>
        <v/>
      </c>
      <c r="F23" s="88" t="str">
        <f>IF(BORDRO!P17&lt;&gt;0,SUM(BORDRO!P17:'BORDRO'!Q17)," ")</f>
        <v xml:space="preserve"> </v>
      </c>
      <c r="G23" s="88" t="str">
        <f t="shared" si="0"/>
        <v/>
      </c>
    </row>
    <row r="24" spans="2:7" ht="15" customHeight="1">
      <c r="B24" s="77">
        <f>IF(BORDRO!A18&lt;&gt;0,BORDRO!A18,"")</f>
        <v>13</v>
      </c>
      <c r="C24" s="86" t="str">
        <f>IF(BORDRO!B18&lt;&gt;0,BORDRO!B18,"")</f>
        <v/>
      </c>
      <c r="D24" s="262" t="str">
        <f>IF(BORDRO!C18&lt;&gt;0,BORDRO!C18,"")</f>
        <v/>
      </c>
      <c r="E24" s="87" t="str">
        <f>IF(BORDRO!J18&lt;&gt;0,BORDRO!J18,"")</f>
        <v/>
      </c>
      <c r="F24" s="88" t="str">
        <f>IF(BORDRO!P18&lt;&gt;0,SUM(BORDRO!P18:'BORDRO'!Q18)," ")</f>
        <v xml:space="preserve"> </v>
      </c>
      <c r="G24" s="88" t="str">
        <f t="shared" si="0"/>
        <v/>
      </c>
    </row>
    <row r="25" spans="2:7" ht="15" customHeight="1">
      <c r="B25" s="77">
        <f>IF(BORDRO!A19&lt;&gt;0,BORDRO!A19,"")</f>
        <v>14</v>
      </c>
      <c r="C25" s="86" t="str">
        <f>IF(BORDRO!B19&lt;&gt;0,BORDRO!B19,"")</f>
        <v/>
      </c>
      <c r="D25" s="262" t="str">
        <f>IF(BORDRO!C19&lt;&gt;0,BORDRO!C19,"")</f>
        <v/>
      </c>
      <c r="E25" s="87" t="str">
        <f>IF(BORDRO!J19&lt;&gt;0,BORDRO!J19,"")</f>
        <v/>
      </c>
      <c r="F25" s="88" t="str">
        <f>IF(BORDRO!P19&lt;&gt;0,SUM(BORDRO!P19:'BORDRO'!Q19)," ")</f>
        <v xml:space="preserve"> </v>
      </c>
      <c r="G25" s="88" t="str">
        <f t="shared" si="0"/>
        <v/>
      </c>
    </row>
    <row r="26" spans="2:7" ht="15" customHeight="1">
      <c r="B26" s="77">
        <f>IF(BORDRO!A20&lt;&gt;0,BORDRO!A20,"")</f>
        <v>15</v>
      </c>
      <c r="C26" s="86" t="str">
        <f>IF(BORDRO!B20&lt;&gt;0,BORDRO!B20,"")</f>
        <v/>
      </c>
      <c r="D26" s="262" t="str">
        <f>IF(BORDRO!C20&lt;&gt;0,BORDRO!C20,"")</f>
        <v/>
      </c>
      <c r="E26" s="87" t="str">
        <f>IF(BORDRO!J20&lt;&gt;0,BORDRO!J20,"")</f>
        <v/>
      </c>
      <c r="F26" s="88" t="str">
        <f>IF(BORDRO!P20&lt;&gt;0,SUM(BORDRO!P20:'BORDRO'!Q20)," ")</f>
        <v xml:space="preserve"> </v>
      </c>
      <c r="G26" s="88" t="str">
        <f t="shared" si="0"/>
        <v/>
      </c>
    </row>
    <row r="27" spans="2:7" ht="15" customHeight="1">
      <c r="B27" s="77">
        <f>IF(BORDRO!A21&lt;&gt;0,BORDRO!A21,"")</f>
        <v>16</v>
      </c>
      <c r="C27" s="86" t="str">
        <f>IF(BORDRO!B21&lt;&gt;0,BORDRO!B21,"")</f>
        <v/>
      </c>
      <c r="D27" s="262" t="str">
        <f>IF(BORDRO!C21&lt;&gt;0,BORDRO!C21,"")</f>
        <v/>
      </c>
      <c r="E27" s="87" t="str">
        <f>IF(BORDRO!J21&lt;&gt;0,BORDRO!J21,"")</f>
        <v/>
      </c>
      <c r="F27" s="88" t="str">
        <f>IF(BORDRO!P21&lt;&gt;0,SUM(BORDRO!P21:'BORDRO'!Q21)," ")</f>
        <v xml:space="preserve"> </v>
      </c>
      <c r="G27" s="88" t="str">
        <f t="shared" si="0"/>
        <v/>
      </c>
    </row>
    <row r="28" spans="2:7" ht="15" customHeight="1">
      <c r="B28" s="77">
        <f>IF(BORDRO!A22&lt;&gt;0,BORDRO!A22,"")</f>
        <v>17</v>
      </c>
      <c r="C28" s="86" t="str">
        <f>IF(BORDRO!B22&lt;&gt;0,BORDRO!B22,"")</f>
        <v/>
      </c>
      <c r="D28" s="262" t="str">
        <f>IF(BORDRO!C22&lt;&gt;0,BORDRO!C22,"")</f>
        <v/>
      </c>
      <c r="E28" s="87" t="str">
        <f>IF(BORDRO!J22&lt;&gt;0,BORDRO!J22,"")</f>
        <v/>
      </c>
      <c r="F28" s="88" t="str">
        <f>IF(BORDRO!P22&lt;&gt;0,SUM(BORDRO!P22:'BORDRO'!Q22)," ")</f>
        <v xml:space="preserve"> </v>
      </c>
      <c r="G28" s="88" t="str">
        <f t="shared" si="0"/>
        <v/>
      </c>
    </row>
    <row r="29" spans="2:7" ht="15" customHeight="1">
      <c r="B29" s="77">
        <f>IF(BORDRO!A23&lt;&gt;0,BORDRO!A23,"")</f>
        <v>18</v>
      </c>
      <c r="C29" s="86" t="str">
        <f>IF(BORDRO!B23&lt;&gt;0,BORDRO!B23,"")</f>
        <v/>
      </c>
      <c r="D29" s="262" t="str">
        <f>IF(BORDRO!C23&lt;&gt;0,BORDRO!C23,"")</f>
        <v/>
      </c>
      <c r="E29" s="87" t="str">
        <f>IF(BORDRO!J23&lt;&gt;0,BORDRO!J23,"")</f>
        <v/>
      </c>
      <c r="F29" s="88" t="str">
        <f>IF(BORDRO!P23&lt;&gt;0,SUM(BORDRO!P23:'BORDRO'!Q23)," ")</f>
        <v xml:space="preserve"> </v>
      </c>
      <c r="G29" s="88" t="str">
        <f t="shared" si="0"/>
        <v/>
      </c>
    </row>
    <row r="30" spans="2:7" ht="15" customHeight="1">
      <c r="B30" s="77">
        <f>IF(BORDRO!A24&lt;&gt;0,BORDRO!A24,"")</f>
        <v>19</v>
      </c>
      <c r="C30" s="86" t="str">
        <f>IF(BORDRO!B24&lt;&gt;0,BORDRO!B24,"")</f>
        <v/>
      </c>
      <c r="D30" s="262" t="str">
        <f>IF(BORDRO!C24&lt;&gt;0,BORDRO!C24,"")</f>
        <v/>
      </c>
      <c r="E30" s="87" t="str">
        <f>IF(BORDRO!J24&lt;&gt;0,BORDRO!J24,"")</f>
        <v/>
      </c>
      <c r="F30" s="88" t="str">
        <f>IF(BORDRO!P24&lt;&gt;0,SUM(BORDRO!P24:'BORDRO'!Q24)," ")</f>
        <v xml:space="preserve"> </v>
      </c>
      <c r="G30" s="88" t="str">
        <f t="shared" si="0"/>
        <v/>
      </c>
    </row>
    <row r="31" spans="2:7" ht="15" customHeight="1">
      <c r="B31" s="77">
        <f>IF(BORDRO!A25&lt;&gt;0,BORDRO!A25,"")</f>
        <v>20</v>
      </c>
      <c r="C31" s="86" t="str">
        <f>IF(BORDRO!B25&lt;&gt;0,BORDRO!B25,"")</f>
        <v/>
      </c>
      <c r="D31" s="262" t="str">
        <f>IF(BORDRO!C25&lt;&gt;0,BORDRO!C25,"")</f>
        <v/>
      </c>
      <c r="E31" s="87" t="str">
        <f>IF(BORDRO!J25&lt;&gt;0,BORDRO!J25,"")</f>
        <v/>
      </c>
      <c r="F31" s="88" t="str">
        <f>IF(BORDRO!P25&lt;&gt;0,SUM(BORDRO!P25:'BORDRO'!Q25)," ")</f>
        <v xml:space="preserve"> </v>
      </c>
      <c r="G31" s="88" t="str">
        <f t="shared" si="0"/>
        <v/>
      </c>
    </row>
    <row r="32" spans="2:7" ht="15" customHeight="1">
      <c r="B32" s="408" t="s">
        <v>23</v>
      </c>
      <c r="C32" s="408"/>
      <c r="D32" s="408"/>
      <c r="E32" s="87">
        <f>SUM(E12:E31)</f>
        <v>1236.6400000000001</v>
      </c>
      <c r="F32" s="89">
        <f>SUM(F12:F31)</f>
        <v>844.52470200000016</v>
      </c>
      <c r="G32" s="89">
        <f>SUM(G12:G31)</f>
        <v>2081.164702</v>
      </c>
    </row>
    <row r="33" spans="2:7" ht="15" customHeight="1">
      <c r="B33" s="47"/>
      <c r="C33" s="48"/>
      <c r="D33" s="47"/>
      <c r="E33" s="75"/>
      <c r="F33" s="90"/>
      <c r="G33" s="90"/>
    </row>
    <row r="34" spans="2:7" ht="15" customHeight="1">
      <c r="B34" s="49"/>
      <c r="C34" s="48"/>
      <c r="D34" s="47"/>
      <c r="E34" s="75"/>
      <c r="F34" s="90"/>
      <c r="G34" s="90"/>
    </row>
    <row r="35" spans="2:7" ht="15" customHeight="1">
      <c r="B35" s="49"/>
      <c r="C35" s="48"/>
      <c r="D35" s="47"/>
      <c r="E35" s="75"/>
      <c r="F35" s="90"/>
      <c r="G35" s="90"/>
    </row>
    <row r="36" spans="2:7" ht="15" customHeight="1"/>
  </sheetData>
  <sheetProtection password="CEE9" sheet="1" objects="1" scenarios="1"/>
  <mergeCells count="4">
    <mergeCell ref="B32:D32"/>
    <mergeCell ref="B7:G7"/>
    <mergeCell ref="C8:D8"/>
    <mergeCell ref="C10:D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zoomScale="130" workbookViewId="0">
      <selection activeCell="G15" sqref="G15"/>
    </sheetView>
  </sheetViews>
  <sheetFormatPr defaultRowHeight="11.25"/>
  <cols>
    <col min="1" max="1" width="9.140625" style="50"/>
    <col min="2" max="2" width="5.28515625" style="50" customWidth="1"/>
    <col min="3" max="3" width="21.28515625" style="50" customWidth="1"/>
    <col min="4" max="4" width="9.42578125" style="50" customWidth="1"/>
    <col min="5" max="5" width="12" style="50" customWidth="1"/>
    <col min="6" max="6" width="31.85546875" style="50" customWidth="1"/>
    <col min="7" max="8" width="9.140625" style="50" hidden="1" customWidth="1"/>
    <col min="9" max="9" width="9.140625" style="51" hidden="1" customWidth="1"/>
    <col min="10" max="10" width="9.140625" style="52" hidden="1" customWidth="1"/>
    <col min="11" max="11" width="0" style="50" hidden="1" customWidth="1"/>
    <col min="12" max="16384" width="9.140625" style="50"/>
  </cols>
  <sheetData>
    <row r="1" spans="2:10" ht="15">
      <c r="B1" s="414" t="s">
        <v>129</v>
      </c>
      <c r="C1" s="414"/>
      <c r="D1" s="414"/>
      <c r="E1" s="414"/>
      <c r="F1" s="414"/>
    </row>
    <row r="2" spans="2:10">
      <c r="B2" s="53"/>
      <c r="C2" s="54" t="s">
        <v>130</v>
      </c>
      <c r="D2" s="54" t="str">
        <f>'KİŞİ BİLGİ'!$K$12</f>
        <v>HAZİRAN</v>
      </c>
      <c r="E2" s="54">
        <f>'KİŞİ BİLGİ'!$L$12</f>
        <v>2016</v>
      </c>
      <c r="F2" s="53"/>
      <c r="I2" s="51" t="str">
        <f>A.G.İ.TABLO!K2</f>
        <v>B</v>
      </c>
      <c r="J2" s="52">
        <f>A.G.İ.TABLO!O2</f>
        <v>220.73</v>
      </c>
    </row>
    <row r="3" spans="2:10">
      <c r="B3" s="416" t="s">
        <v>71</v>
      </c>
      <c r="C3" s="416"/>
      <c r="D3" s="416"/>
      <c r="E3" s="416"/>
      <c r="F3" s="55">
        <f>'KİŞİ BİLGİ'!$H$12</f>
        <v>2943</v>
      </c>
      <c r="I3" s="51" t="str">
        <f>A.G.İ.TABLO!K3</f>
        <v>EE</v>
      </c>
      <c r="J3" s="52">
        <f>A.G.İ.TABLO!O3</f>
        <v>220.73</v>
      </c>
    </row>
    <row r="4" spans="2:10">
      <c r="B4" s="417" t="s">
        <v>72</v>
      </c>
      <c r="C4" s="417"/>
      <c r="D4" s="417"/>
      <c r="E4" s="417"/>
      <c r="F4" s="57">
        <f>F3*12</f>
        <v>35316</v>
      </c>
      <c r="I4" s="51" t="str">
        <f>A.G.İ.TABLO!K4</f>
        <v>EH</v>
      </c>
      <c r="J4" s="52">
        <f>A.G.İ.TABLO!O4</f>
        <v>264.87</v>
      </c>
    </row>
    <row r="5" spans="2:10">
      <c r="B5" s="417" t="s">
        <v>18</v>
      </c>
      <c r="C5" s="417"/>
      <c r="D5" s="417"/>
      <c r="E5" s="417"/>
      <c r="F5" s="56" t="str">
        <f>'KİŞİ BİLGİ'!$B$11</f>
        <v>ATATÜRK ANADOLU LİSESİ MÜDÜRLÜĞÜ</v>
      </c>
      <c r="I5" s="51" t="str">
        <f>A.G.İ.TABLO!K5</f>
        <v>EH1</v>
      </c>
      <c r="J5" s="52">
        <f>A.G.İ.TABLO!O5</f>
        <v>297.98</v>
      </c>
    </row>
    <row r="6" spans="2:10">
      <c r="B6" s="418" t="s">
        <v>6</v>
      </c>
      <c r="C6" s="422" t="s">
        <v>0</v>
      </c>
      <c r="D6" s="418" t="s">
        <v>122</v>
      </c>
      <c r="E6" s="418" t="s">
        <v>127</v>
      </c>
      <c r="F6" s="418" t="s">
        <v>126</v>
      </c>
      <c r="I6" s="51" t="str">
        <f>A.G.İ.TABLO!K6</f>
        <v>EH2</v>
      </c>
      <c r="J6" s="52">
        <f>A.G.İ.TABLO!O6</f>
        <v>331.09</v>
      </c>
    </row>
    <row r="7" spans="2:10" s="4" customFormat="1" ht="47.25" customHeight="1">
      <c r="B7" s="422"/>
      <c r="C7" s="422"/>
      <c r="D7" s="418"/>
      <c r="E7" s="418"/>
      <c r="F7" s="418"/>
      <c r="I7" s="6" t="str">
        <f>A.G.İ.TABLO!K7</f>
        <v>EH3</v>
      </c>
      <c r="J7" s="58">
        <f>A.G.İ.TABLO!O7</f>
        <v>375.23</v>
      </c>
    </row>
    <row r="8" spans="2:10">
      <c r="B8" s="5">
        <f>IF('KİŞİ BİLGİ'!A14&lt;&gt;0,'KİŞİ BİLGİ'!A14,"")</f>
        <v>1</v>
      </c>
      <c r="C8" s="59" t="str">
        <f>IF('KİŞİ BİLGİ'!B14&lt;&gt;0,'KİŞİ BİLGİ'!B14,"")</f>
        <v/>
      </c>
      <c r="D8" s="60" t="str">
        <f>IF('KİŞİ BİLGİ'!F14&lt;&gt;0,'KİŞİ BİLGİ'!F14,"")</f>
        <v>EE1</v>
      </c>
      <c r="E8" s="61">
        <f>IF(D8="","",VLOOKUP(D8,$I$2:$J$12,2,FALSE))</f>
        <v>253.83</v>
      </c>
      <c r="F8" s="61">
        <f>IF(BORDRO!T6&lt;&gt;0,BORDRO!T6,"")</f>
        <v>142.44452964000001</v>
      </c>
      <c r="I8" s="51" t="str">
        <f>A.G.İ.TABLO!K8</f>
        <v>EH4</v>
      </c>
      <c r="J8" s="52">
        <f>A.G.İ.TABLO!O8</f>
        <v>375.23</v>
      </c>
    </row>
    <row r="9" spans="2:10">
      <c r="B9" s="5">
        <f>IF('KİŞİ BİLGİ'!A15&lt;&gt;0,'KİŞİ BİLGİ'!A15,"")</f>
        <v>2</v>
      </c>
      <c r="C9" s="59" t="str">
        <f>IF('KİŞİ BİLGİ'!B15&lt;&gt;0,'KİŞİ BİLGİ'!B15,"")</f>
        <v/>
      </c>
      <c r="D9" s="60" t="str">
        <f>IF('KİŞİ BİLGİ'!F15&lt;&gt;0,'KİŞİ BİLGİ'!F15,"")</f>
        <v>EH3</v>
      </c>
      <c r="E9" s="61">
        <f t="shared" ref="E9:E27" si="0">IF(D9="","",VLOOKUP(D9,$I$2:$J$12,2,FALSE))</f>
        <v>375.23</v>
      </c>
      <c r="F9" s="61">
        <f>IF(BORDRO!T7&lt;&gt;0,BORDRO!T7,"")</f>
        <v>126.61735968000001</v>
      </c>
      <c r="I9" s="51" t="str">
        <f>A.G.İ.TABLO!K9</f>
        <v>EE1</v>
      </c>
      <c r="J9" s="52">
        <f>A.G.İ.TABLO!O9</f>
        <v>253.83</v>
      </c>
    </row>
    <row r="10" spans="2:10">
      <c r="B10" s="5">
        <f>IF('KİŞİ BİLGİ'!A16&lt;&gt;0,'KİŞİ BİLGİ'!A16,"")</f>
        <v>3</v>
      </c>
      <c r="C10" s="59" t="str">
        <f>IF('KİŞİ BİLGİ'!B16&lt;&gt;0,'KİŞİ BİLGİ'!B16,"")</f>
        <v/>
      </c>
      <c r="D10" s="60" t="str">
        <f>IF('KİŞİ BİLGİ'!F16&lt;&gt;0,'KİŞİ BİLGİ'!F16,"")</f>
        <v>B</v>
      </c>
      <c r="E10" s="61">
        <f t="shared" si="0"/>
        <v>220.73</v>
      </c>
      <c r="F10" s="61">
        <f>IF(BORDRO!T8&lt;&gt;0,BORDRO!T8,"")</f>
        <v>189.92603952000002</v>
      </c>
      <c r="I10" s="51" t="str">
        <f>A.G.İ.TABLO!K10</f>
        <v>EE2</v>
      </c>
      <c r="J10" s="52">
        <f>A.G.İ.TABLO!O10</f>
        <v>286.94</v>
      </c>
    </row>
    <row r="11" spans="2:10" s="7" customFormat="1">
      <c r="B11" s="5">
        <f>IF('KİŞİ BİLGİ'!A17&lt;&gt;0,'KİŞİ BİLGİ'!A17,"")</f>
        <v>4</v>
      </c>
      <c r="C11" s="59" t="str">
        <f>IF('KİŞİ BİLGİ'!B17&lt;&gt;0,'KİŞİ BİLGİ'!B17,"")</f>
        <v/>
      </c>
      <c r="D11" s="60" t="str">
        <f>IF('KİŞİ BİLGİ'!F17&lt;&gt;0,'KİŞİ BİLGİ'!F17,"")</f>
        <v>EE2</v>
      </c>
      <c r="E11" s="61">
        <f t="shared" si="0"/>
        <v>286.94</v>
      </c>
      <c r="F11" s="61">
        <f>IF(BORDRO!T9&lt;&gt;0,BORDRO!T9,"")</f>
        <v>131.89308300000002</v>
      </c>
      <c r="I11" s="62" t="str">
        <f>A.G.İ.TABLO!K11</f>
        <v>EE3</v>
      </c>
      <c r="J11" s="63">
        <f>A.G.İ.TABLO!O11</f>
        <v>331.09</v>
      </c>
    </row>
    <row r="12" spans="2:10">
      <c r="B12" s="5">
        <f>IF('KİŞİ BİLGİ'!A18&lt;&gt;0,'KİŞİ BİLGİ'!A18,"")</f>
        <v>5</v>
      </c>
      <c r="C12" s="59" t="str">
        <f>IF('KİŞİ BİLGİ'!B18&lt;&gt;0,'KİŞİ BİLGİ'!B18,"")</f>
        <v/>
      </c>
      <c r="D12" s="60" t="str">
        <f>IF('KİŞİ BİLGİ'!F18&lt;&gt;0,'KİŞİ BİLGİ'!F18,"")</f>
        <v>EE1</v>
      </c>
      <c r="E12" s="61">
        <f t="shared" si="0"/>
        <v>253.83</v>
      </c>
      <c r="F12" s="61">
        <f>IF(BORDRO!T10&lt;&gt;0,BORDRO!T10,"")</f>
        <v>187.28817785999999</v>
      </c>
      <c r="I12" s="51" t="str">
        <f>A.G.İ.TABLO!K12</f>
        <v>EE4</v>
      </c>
      <c r="J12" s="52">
        <f>A.G.İ.TABLO!O12</f>
        <v>353.16</v>
      </c>
    </row>
    <row r="13" spans="2:10">
      <c r="B13" s="5">
        <f>IF('KİŞİ BİLGİ'!A19&lt;&gt;0,'KİŞİ BİLGİ'!A19,"")</f>
        <v>6</v>
      </c>
      <c r="C13" s="59" t="str">
        <f>IF('KİŞİ BİLGİ'!B19&lt;&gt;0,'KİŞİ BİLGİ'!B19,"")</f>
        <v/>
      </c>
      <c r="D13" s="60" t="str">
        <f>IF('KİŞİ BİLGİ'!F19&lt;&gt;0,'KİŞİ BİLGİ'!F19,"")</f>
        <v/>
      </c>
      <c r="E13" s="61" t="str">
        <f t="shared" si="0"/>
        <v/>
      </c>
      <c r="F13" s="61" t="str">
        <f>IF(BORDRO!T11&lt;&gt;0,BORDRO!T11,"")</f>
        <v/>
      </c>
      <c r="I13" s="64"/>
    </row>
    <row r="14" spans="2:10">
      <c r="B14" s="5">
        <f>IF('KİŞİ BİLGİ'!A20&lt;&gt;0,'KİŞİ BİLGİ'!A20,"")</f>
        <v>7</v>
      </c>
      <c r="C14" s="59" t="str">
        <f>IF('KİŞİ BİLGİ'!B20&lt;&gt;0,'KİŞİ BİLGİ'!B20,"")</f>
        <v/>
      </c>
      <c r="D14" s="60" t="str">
        <f>IF('KİŞİ BİLGİ'!F20&lt;&gt;0,'KİŞİ BİLGİ'!F20,"")</f>
        <v/>
      </c>
      <c r="E14" s="61" t="str">
        <f t="shared" si="0"/>
        <v/>
      </c>
      <c r="F14" s="61" t="str">
        <f>IF(BORDRO!T12&lt;&gt;0,BORDRO!T12,"")</f>
        <v/>
      </c>
      <c r="I14" s="64"/>
    </row>
    <row r="15" spans="2:10">
      <c r="B15" s="5">
        <f>IF('KİŞİ BİLGİ'!A21&lt;&gt;0,'KİŞİ BİLGİ'!A21,"")</f>
        <v>8</v>
      </c>
      <c r="C15" s="59" t="str">
        <f>IF('KİŞİ BİLGİ'!B21&lt;&gt;0,'KİŞİ BİLGİ'!B21,"")</f>
        <v/>
      </c>
      <c r="D15" s="60" t="str">
        <f>IF('KİŞİ BİLGİ'!F21&lt;&gt;0,'KİŞİ BİLGİ'!F21,"")</f>
        <v/>
      </c>
      <c r="E15" s="61" t="str">
        <f t="shared" si="0"/>
        <v/>
      </c>
      <c r="F15" s="61" t="str">
        <f>IF(BORDRO!T13&lt;&gt;0,BORDRO!T13,"")</f>
        <v/>
      </c>
    </row>
    <row r="16" spans="2:10">
      <c r="B16" s="5">
        <f>IF('KİŞİ BİLGİ'!A22&lt;&gt;0,'KİŞİ BİLGİ'!A22,"")</f>
        <v>9</v>
      </c>
      <c r="C16" s="59" t="str">
        <f>IF('KİŞİ BİLGİ'!B22&lt;&gt;0,'KİŞİ BİLGİ'!B22,"")</f>
        <v/>
      </c>
      <c r="D16" s="60" t="str">
        <f>IF('KİŞİ BİLGİ'!F22&lt;&gt;0,'KİŞİ BİLGİ'!F22,"")</f>
        <v/>
      </c>
      <c r="E16" s="61" t="str">
        <f t="shared" si="0"/>
        <v/>
      </c>
      <c r="F16" s="61" t="str">
        <f>IF(BORDRO!T14&lt;&gt;0,BORDRO!T14,"")</f>
        <v/>
      </c>
    </row>
    <row r="17" spans="2:10">
      <c r="B17" s="5">
        <f>IF('KİŞİ BİLGİ'!A23&lt;&gt;0,'KİŞİ BİLGİ'!A23,"")</f>
        <v>10</v>
      </c>
      <c r="C17" s="59" t="str">
        <f>IF('KİŞİ BİLGİ'!B23&lt;&gt;0,'KİŞİ BİLGİ'!B23,"")</f>
        <v/>
      </c>
      <c r="D17" s="60" t="str">
        <f>IF('KİŞİ BİLGİ'!F23&lt;&gt;0,'KİŞİ BİLGİ'!F23,"")</f>
        <v/>
      </c>
      <c r="E17" s="61" t="str">
        <f t="shared" si="0"/>
        <v/>
      </c>
      <c r="F17" s="61" t="str">
        <f>IF(BORDRO!T15&lt;&gt;0,BORDRO!T15,"")</f>
        <v/>
      </c>
    </row>
    <row r="18" spans="2:10">
      <c r="B18" s="5">
        <f>IF('KİŞİ BİLGİ'!A24&lt;&gt;0,'KİŞİ BİLGİ'!A24,"")</f>
        <v>11</v>
      </c>
      <c r="C18" s="59" t="str">
        <f>IF('KİŞİ BİLGİ'!B24&lt;&gt;0,'KİŞİ BİLGİ'!B24,"")</f>
        <v/>
      </c>
      <c r="D18" s="60" t="str">
        <f>IF('KİŞİ BİLGİ'!F24&lt;&gt;0,'KİŞİ BİLGİ'!F24,"")</f>
        <v/>
      </c>
      <c r="E18" s="61" t="str">
        <f t="shared" si="0"/>
        <v/>
      </c>
      <c r="F18" s="61" t="str">
        <f>IF(BORDRO!T16&lt;&gt;0,BORDRO!T16,"")</f>
        <v/>
      </c>
    </row>
    <row r="19" spans="2:10">
      <c r="B19" s="5">
        <f>IF('KİŞİ BİLGİ'!A25&lt;&gt;0,'KİŞİ BİLGİ'!A25,"")</f>
        <v>12</v>
      </c>
      <c r="C19" s="59" t="str">
        <f>IF('KİŞİ BİLGİ'!B25&lt;&gt;0,'KİŞİ BİLGİ'!B25,"")</f>
        <v/>
      </c>
      <c r="D19" s="60" t="str">
        <f>IF('KİŞİ BİLGİ'!F25&lt;&gt;0,'KİŞİ BİLGİ'!F25,"")</f>
        <v/>
      </c>
      <c r="E19" s="61" t="str">
        <f t="shared" si="0"/>
        <v/>
      </c>
      <c r="F19" s="61" t="str">
        <f>IF(BORDRO!T17&lt;&gt;0,BORDRO!T17,"")</f>
        <v/>
      </c>
    </row>
    <row r="20" spans="2:10">
      <c r="B20" s="5">
        <f>IF('KİŞİ BİLGİ'!A26&lt;&gt;0,'KİŞİ BİLGİ'!A26,"")</f>
        <v>13</v>
      </c>
      <c r="C20" s="59" t="str">
        <f>IF('KİŞİ BİLGİ'!B26&lt;&gt;0,'KİŞİ BİLGİ'!B26,"")</f>
        <v/>
      </c>
      <c r="D20" s="60" t="str">
        <f>IF('KİŞİ BİLGİ'!F26&lt;&gt;0,'KİŞİ BİLGİ'!F26,"")</f>
        <v/>
      </c>
      <c r="E20" s="61" t="str">
        <f t="shared" si="0"/>
        <v/>
      </c>
      <c r="F20" s="61" t="str">
        <f>IF(BORDRO!T18&lt;&gt;0,BORDRO!T18,"")</f>
        <v/>
      </c>
    </row>
    <row r="21" spans="2:10">
      <c r="B21" s="5">
        <f>IF('KİŞİ BİLGİ'!A27&lt;&gt;0,'KİŞİ BİLGİ'!A27,"")</f>
        <v>14</v>
      </c>
      <c r="C21" s="59" t="str">
        <f>IF('KİŞİ BİLGİ'!B27&lt;&gt;0,'KİŞİ BİLGİ'!B27,"")</f>
        <v/>
      </c>
      <c r="D21" s="60" t="str">
        <f>IF('KİŞİ BİLGİ'!F27&lt;&gt;0,'KİŞİ BİLGİ'!F27,"")</f>
        <v/>
      </c>
      <c r="E21" s="61" t="str">
        <f t="shared" si="0"/>
        <v/>
      </c>
      <c r="F21" s="61" t="str">
        <f>IF(BORDRO!T19&lt;&gt;0,BORDRO!T19,"")</f>
        <v/>
      </c>
    </row>
    <row r="22" spans="2:10">
      <c r="B22" s="5">
        <f>IF('KİŞİ BİLGİ'!A28&lt;&gt;0,'KİŞİ BİLGİ'!A28,"")</f>
        <v>15</v>
      </c>
      <c r="C22" s="59" t="str">
        <f>IF('KİŞİ BİLGİ'!B28&lt;&gt;0,'KİŞİ BİLGİ'!B28,"")</f>
        <v/>
      </c>
      <c r="D22" s="60" t="str">
        <f>IF('KİŞİ BİLGİ'!F28&lt;&gt;0,'KİŞİ BİLGİ'!F28,"")</f>
        <v/>
      </c>
      <c r="E22" s="61" t="str">
        <f t="shared" si="0"/>
        <v/>
      </c>
      <c r="F22" s="61" t="str">
        <f>IF(BORDRO!T20&lt;&gt;0,BORDRO!T20,"")</f>
        <v/>
      </c>
    </row>
    <row r="23" spans="2:10">
      <c r="B23" s="5">
        <f>IF('KİŞİ BİLGİ'!A29&lt;&gt;0,'KİŞİ BİLGİ'!A29,"")</f>
        <v>16</v>
      </c>
      <c r="C23" s="59" t="str">
        <f>IF('KİŞİ BİLGİ'!B29&lt;&gt;0,'KİŞİ BİLGİ'!B29,"")</f>
        <v/>
      </c>
      <c r="D23" s="60" t="str">
        <f>IF('KİŞİ BİLGİ'!F29&lt;&gt;0,'KİŞİ BİLGİ'!F29,"")</f>
        <v/>
      </c>
      <c r="E23" s="61" t="str">
        <f t="shared" si="0"/>
        <v/>
      </c>
      <c r="F23" s="61" t="str">
        <f>IF(BORDRO!T21&lt;&gt;0,BORDRO!T21,"")</f>
        <v/>
      </c>
    </row>
    <row r="24" spans="2:10">
      <c r="B24" s="5">
        <f>IF('KİŞİ BİLGİ'!A30&lt;&gt;0,'KİŞİ BİLGİ'!A30,"")</f>
        <v>17</v>
      </c>
      <c r="C24" s="59" t="str">
        <f>IF('KİŞİ BİLGİ'!B30&lt;&gt;0,'KİŞİ BİLGİ'!B30,"")</f>
        <v/>
      </c>
      <c r="D24" s="60" t="str">
        <f>IF('KİŞİ BİLGİ'!F30&lt;&gt;0,'KİŞİ BİLGİ'!F30,"")</f>
        <v/>
      </c>
      <c r="E24" s="61" t="str">
        <f t="shared" si="0"/>
        <v/>
      </c>
      <c r="F24" s="61" t="str">
        <f>IF(BORDRO!T22&lt;&gt;0,BORDRO!T22,"")</f>
        <v/>
      </c>
    </row>
    <row r="25" spans="2:10">
      <c r="B25" s="5">
        <f>IF('KİŞİ BİLGİ'!A31&lt;&gt;0,'KİŞİ BİLGİ'!A31,"")</f>
        <v>18</v>
      </c>
      <c r="C25" s="59" t="str">
        <f>IF('KİŞİ BİLGİ'!B31&lt;&gt;0,'KİŞİ BİLGİ'!B31,"")</f>
        <v/>
      </c>
      <c r="D25" s="60" t="str">
        <f>IF('KİŞİ BİLGİ'!F31&lt;&gt;0,'KİŞİ BİLGİ'!F31,"")</f>
        <v/>
      </c>
      <c r="E25" s="61" t="str">
        <f t="shared" si="0"/>
        <v/>
      </c>
      <c r="F25" s="61" t="str">
        <f>IF(BORDRO!T23&lt;&gt;0,BORDRO!T23,"")</f>
        <v/>
      </c>
    </row>
    <row r="26" spans="2:10">
      <c r="B26" s="5">
        <f>IF('KİŞİ BİLGİ'!A32&lt;&gt;0,'KİŞİ BİLGİ'!A32,"")</f>
        <v>19</v>
      </c>
      <c r="C26" s="59" t="str">
        <f>IF('KİŞİ BİLGİ'!B32&lt;&gt;0,'KİŞİ BİLGİ'!B32,"")</f>
        <v/>
      </c>
      <c r="D26" s="60" t="str">
        <f>IF('KİŞİ BİLGİ'!F32&lt;&gt;0,'KİŞİ BİLGİ'!F32,"")</f>
        <v/>
      </c>
      <c r="E26" s="61" t="str">
        <f t="shared" si="0"/>
        <v/>
      </c>
      <c r="F26" s="61" t="str">
        <f>IF(BORDRO!T24&lt;&gt;0,BORDRO!T24,"")</f>
        <v/>
      </c>
    </row>
    <row r="27" spans="2:10" ht="12" thickBot="1">
      <c r="B27" s="5">
        <f>IF('KİŞİ BİLGİ'!A33&lt;&gt;0,'KİŞİ BİLGİ'!A33,"")</f>
        <v>20</v>
      </c>
      <c r="C27" s="59" t="str">
        <f>IF('KİŞİ BİLGİ'!B33&lt;&gt;0,'KİŞİ BİLGİ'!B33,"")</f>
        <v/>
      </c>
      <c r="D27" s="60" t="str">
        <f>IF('KİŞİ BİLGİ'!F33&lt;&gt;0,'KİŞİ BİLGİ'!F33,"")</f>
        <v/>
      </c>
      <c r="E27" s="61" t="str">
        <f t="shared" si="0"/>
        <v/>
      </c>
      <c r="F27" s="61" t="str">
        <f>IF(BORDRO!T25&lt;&gt;0,BORDRO!T25,"")</f>
        <v/>
      </c>
    </row>
    <row r="28" spans="2:10" ht="14.25" customHeight="1" thickBot="1">
      <c r="B28" s="419" t="s">
        <v>23</v>
      </c>
      <c r="C28" s="420"/>
      <c r="D28" s="420"/>
      <c r="E28" s="420"/>
      <c r="F28" s="65">
        <f>SUM(F8:F27)</f>
        <v>778.16918970000006</v>
      </c>
    </row>
    <row r="29" spans="2:10" ht="10.5" customHeight="1">
      <c r="C29" s="421"/>
      <c r="D29" s="421"/>
    </row>
    <row r="30" spans="2:10" ht="11.1" customHeight="1">
      <c r="C30" s="423"/>
      <c r="D30" s="423"/>
    </row>
    <row r="31" spans="2:10" s="3" customFormat="1" ht="11.1" customHeight="1">
      <c r="C31" s="415"/>
      <c r="D31" s="415"/>
      <c r="I31" s="6"/>
      <c r="J31" s="58"/>
    </row>
    <row r="32" spans="2:10" s="3" customFormat="1" ht="11.1" customHeight="1">
      <c r="C32" s="415"/>
      <c r="D32" s="415"/>
      <c r="F32" s="66"/>
      <c r="I32" s="6"/>
      <c r="J32" s="58"/>
    </row>
    <row r="33" spans="3:10" s="3" customFormat="1" ht="11.1" customHeight="1">
      <c r="C33" s="415"/>
      <c r="D33" s="415"/>
      <c r="I33" s="6"/>
      <c r="J33" s="58"/>
    </row>
    <row r="34" spans="3:10" s="3" customFormat="1" ht="11.1" customHeight="1">
      <c r="I34" s="6"/>
      <c r="J34" s="58"/>
    </row>
    <row r="35" spans="3:10" s="3" customFormat="1" ht="11.1" customHeight="1">
      <c r="I35" s="6"/>
      <c r="J35" s="58"/>
    </row>
    <row r="36" spans="3:10" ht="8.1" customHeight="1"/>
    <row r="37" spans="3:10" ht="8.1" customHeight="1"/>
    <row r="38" spans="3:10" ht="8.1" customHeight="1"/>
    <row r="39" spans="3:10" ht="8.1" customHeight="1"/>
    <row r="40" spans="3:10" ht="8.1" customHeight="1"/>
    <row r="41" spans="3:10" ht="8.1" customHeight="1"/>
    <row r="42" spans="3:10" ht="8.1" customHeight="1"/>
    <row r="43" spans="3:10" ht="8.1" customHeight="1"/>
    <row r="44" spans="3:10" ht="8.1" customHeight="1"/>
    <row r="45" spans="3:10" ht="8.1" customHeight="1"/>
    <row r="46" spans="3:10" ht="8.1" customHeight="1"/>
    <row r="47" spans="3:10" ht="8.1" customHeight="1"/>
    <row r="48" spans="3:10" ht="8.1" customHeight="1"/>
    <row r="49" ht="11.25" customHeight="1"/>
    <row r="50" ht="13.5" customHeight="1"/>
    <row r="51" ht="13.5" customHeight="1"/>
    <row r="52" ht="11.25" customHeight="1"/>
    <row r="53" ht="9" customHeight="1"/>
  </sheetData>
  <sheetProtection password="CEE9" sheet="1" objects="1" scenarios="1"/>
  <mergeCells count="15">
    <mergeCell ref="B1:F1"/>
    <mergeCell ref="C33:D33"/>
    <mergeCell ref="B3:E3"/>
    <mergeCell ref="B4:E4"/>
    <mergeCell ref="F6:F7"/>
    <mergeCell ref="E6:E7"/>
    <mergeCell ref="D6:D7"/>
    <mergeCell ref="B28:E28"/>
    <mergeCell ref="C32:D32"/>
    <mergeCell ref="C29:D29"/>
    <mergeCell ref="C31:D31"/>
    <mergeCell ref="B5:E5"/>
    <mergeCell ref="C6:C7"/>
    <mergeCell ref="B6:B7"/>
    <mergeCell ref="C30:D30"/>
  </mergeCells>
  <phoneticPr fontId="2" type="noConversion"/>
  <pageMargins left="0.15748031496062992" right="0.15748031496062992" top="0.39" bottom="0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G15" sqref="G15"/>
    </sheetView>
  </sheetViews>
  <sheetFormatPr defaultRowHeight="11.25"/>
  <cols>
    <col min="1" max="1" width="2" style="50" customWidth="1"/>
    <col min="2" max="2" width="8.85546875" style="50" customWidth="1"/>
    <col min="3" max="3" width="13.7109375" style="50" customWidth="1"/>
    <col min="4" max="4" width="23.42578125" style="50" customWidth="1"/>
    <col min="5" max="5" width="12" style="50" customWidth="1"/>
    <col min="6" max="6" width="17" style="277" customWidth="1"/>
    <col min="7" max="7" width="10.85546875" style="50" customWidth="1"/>
    <col min="8" max="8" width="11.28515625" style="50" customWidth="1"/>
    <col min="9" max="16384" width="9.140625" style="50"/>
  </cols>
  <sheetData>
    <row r="1" spans="1:11" ht="15.75">
      <c r="B1" s="429" t="s">
        <v>64</v>
      </c>
      <c r="C1" s="429"/>
      <c r="D1" s="429"/>
      <c r="E1" s="429"/>
      <c r="F1" s="429"/>
      <c r="G1" s="429"/>
      <c r="H1" s="429"/>
    </row>
    <row r="2" spans="1:11" ht="18.75" customHeight="1">
      <c r="A2" s="53"/>
      <c r="B2" s="430" t="s">
        <v>70</v>
      </c>
      <c r="C2" s="430"/>
      <c r="D2" s="431">
        <f>NAKİT!S6</f>
        <v>0</v>
      </c>
      <c r="E2" s="431"/>
      <c r="F2" s="431"/>
      <c r="G2" s="432" t="s">
        <v>145</v>
      </c>
      <c r="H2" s="424" t="str">
        <f>'KİŞİ BİLGİ'!$K$12</f>
        <v>HAZİRAN</v>
      </c>
    </row>
    <row r="3" spans="1:11" ht="17.25" customHeight="1">
      <c r="A3" s="53"/>
      <c r="B3" s="426" t="s">
        <v>149</v>
      </c>
      <c r="C3" s="426"/>
      <c r="D3" s="427">
        <f>NAKİT!S7</f>
        <v>0</v>
      </c>
      <c r="E3" s="427"/>
      <c r="F3" s="427"/>
      <c r="G3" s="433"/>
      <c r="H3" s="425"/>
    </row>
    <row r="4" spans="1:11" ht="18" customHeight="1">
      <c r="A4" s="53"/>
      <c r="B4" s="426" t="s">
        <v>18</v>
      </c>
      <c r="C4" s="426"/>
      <c r="D4" s="427" t="str">
        <f>'KİŞİ BİLGİ'!$B$11</f>
        <v>ATATÜRK ANADOLU LİSESİ MÜDÜRLÜĞÜ</v>
      </c>
      <c r="E4" s="427"/>
      <c r="F4" s="427"/>
      <c r="G4" s="434"/>
      <c r="H4" s="94">
        <f>'KİŞİ BİLGİ'!$L$12</f>
        <v>2016</v>
      </c>
    </row>
    <row r="5" spans="1:11" s="274" customFormat="1" ht="24.75" customHeight="1">
      <c r="B5" s="275" t="s">
        <v>6</v>
      </c>
      <c r="C5" s="276" t="s">
        <v>8</v>
      </c>
      <c r="D5" s="276" t="s">
        <v>0</v>
      </c>
      <c r="E5" s="275" t="s">
        <v>150</v>
      </c>
      <c r="F5" s="276" t="s">
        <v>3</v>
      </c>
      <c r="G5" s="275" t="s">
        <v>69</v>
      </c>
      <c r="H5" s="275" t="s">
        <v>68</v>
      </c>
    </row>
    <row r="6" spans="1:11" ht="12" customHeight="1">
      <c r="A6" s="53"/>
      <c r="B6" s="67">
        <f>IF('KİŞİ BİLGİ'!A14&lt;&gt;0,'KİŞİ BİLGİ'!A14,"")</f>
        <v>1</v>
      </c>
      <c r="C6" s="69" t="str">
        <f>IF('KİŞİ BİLGİ'!C14&lt;&gt;0,'KİŞİ BİLGİ'!C14,"")</f>
        <v/>
      </c>
      <c r="D6" s="68" t="str">
        <f>IF('KİŞİ BİLGİ'!B14&lt;&gt;0,'KİŞİ BİLGİ'!B14,"")</f>
        <v/>
      </c>
      <c r="E6" s="70" t="str">
        <f>IF('KİŞİ BİLGİ'!G14&lt;&gt;0,'KİŞİ BİLGİ'!G14,"")</f>
        <v/>
      </c>
      <c r="F6" s="70" t="str">
        <f>IF('KİŞİ BİLGİ'!H14&lt;&gt;0,'KİŞİ BİLGİ'!H14,"")</f>
        <v/>
      </c>
      <c r="G6" s="71">
        <f>IF(BORDRO!AA6&lt;&gt;0,BORDRO!AA6,"")</f>
        <v>941.25382119560015</v>
      </c>
      <c r="H6" s="71">
        <f>IF(G6&lt;&gt;"",G6,"")</f>
        <v>941.25382119560015</v>
      </c>
    </row>
    <row r="7" spans="1:11" ht="12" customHeight="1">
      <c r="A7" s="53"/>
      <c r="B7" s="67">
        <f>IF('KİŞİ BİLGİ'!A15&lt;&gt;0,'KİŞİ BİLGİ'!A15,"")</f>
        <v>2</v>
      </c>
      <c r="C7" s="69" t="str">
        <f>IF('KİŞİ BİLGİ'!C15&lt;&gt;0,'KİŞİ BİLGİ'!C15,"")</f>
        <v/>
      </c>
      <c r="D7" s="68" t="str">
        <f>IF('KİŞİ BİLGİ'!B15&lt;&gt;0,'KİŞİ BİLGİ'!B15,"")</f>
        <v/>
      </c>
      <c r="E7" s="70" t="str">
        <f>IF('KİŞİ BİLGİ'!G15&lt;&gt;0,'KİŞİ BİLGİ'!G15,"")</f>
        <v/>
      </c>
      <c r="F7" s="70" t="str">
        <f>IF('KİŞİ BİLGİ'!H15&lt;&gt;0,'KİŞİ BİLGİ'!H15,"")</f>
        <v/>
      </c>
      <c r="G7" s="71">
        <f>IF(BORDRO!AA7&lt;&gt;0,BORDRO!AA7,"")</f>
        <v>836.66228550719995</v>
      </c>
      <c r="H7" s="71">
        <f t="shared" ref="H7:H25" si="0">IF(G7&lt;&gt;"",G7,"")</f>
        <v>836.66228550719995</v>
      </c>
    </row>
    <row r="8" spans="1:11" ht="12" customHeight="1">
      <c r="A8" s="53"/>
      <c r="B8" s="67">
        <f>IF('KİŞİ BİLGİ'!A16&lt;&gt;0,'KİŞİ BİLGİ'!A16,"")</f>
        <v>3</v>
      </c>
      <c r="C8" s="69" t="str">
        <f>IF('KİŞİ BİLGİ'!C16&lt;&gt;0,'KİŞİ BİLGİ'!C16,"")</f>
        <v/>
      </c>
      <c r="D8" s="68" t="str">
        <f>IF('KİŞİ BİLGİ'!B16&lt;&gt;0,'KİŞİ BİLGİ'!B16,"")</f>
        <v/>
      </c>
      <c r="E8" s="70" t="str">
        <f>IF('KİŞİ BİLGİ'!G16&lt;&gt;0,'KİŞİ BİLGİ'!G16,"")</f>
        <v/>
      </c>
      <c r="F8" s="70" t="str">
        <f>IF('KİŞİ BİLGİ'!H16&lt;&gt;0,'KİŞİ BİLGİ'!H16,"")</f>
        <v/>
      </c>
      <c r="G8" s="71">
        <f>IF(BORDRO!AA8&lt;&gt;0,BORDRO!AA8,"")</f>
        <v>1254.9984282608002</v>
      </c>
      <c r="H8" s="71">
        <f t="shared" si="0"/>
        <v>1254.9984282608002</v>
      </c>
    </row>
    <row r="9" spans="1:11" ht="12" customHeight="1">
      <c r="A9" s="53"/>
      <c r="B9" s="67">
        <f>IF('KİŞİ BİLGİ'!A17&lt;&gt;0,'KİŞİ BİLGİ'!A17,"")</f>
        <v>4</v>
      </c>
      <c r="C9" s="69" t="str">
        <f>IF('KİŞİ BİLGİ'!C17&lt;&gt;0,'KİŞİ BİLGİ'!C17,"")</f>
        <v/>
      </c>
      <c r="D9" s="68" t="str">
        <f>IF('KİŞİ BİLGİ'!B17&lt;&gt;0,'KİŞİ BİLGİ'!B17,"")</f>
        <v/>
      </c>
      <c r="E9" s="70" t="str">
        <f>IF('KİŞİ BİLGİ'!G17&lt;&gt;0,'KİŞİ BİLGİ'!G17,"")</f>
        <v/>
      </c>
      <c r="F9" s="70" t="str">
        <f>IF('KİŞİ BİLGİ'!H17&lt;&gt;0,'KİŞİ BİLGİ'!H17,"")</f>
        <v/>
      </c>
      <c r="G9" s="71">
        <f>IF(BORDRO!AA9&lt;&gt;0,BORDRO!AA9,"")</f>
        <v>871.52946407000002</v>
      </c>
      <c r="H9" s="71">
        <f t="shared" si="0"/>
        <v>871.52946407000002</v>
      </c>
    </row>
    <row r="10" spans="1:11" ht="12" customHeight="1">
      <c r="A10" s="53"/>
      <c r="B10" s="67">
        <f>IF('KİŞİ BİLGİ'!A18&lt;&gt;0,'KİŞİ BİLGİ'!A18,"")</f>
        <v>5</v>
      </c>
      <c r="C10" s="69" t="str">
        <f>IF('KİŞİ BİLGİ'!C18&lt;&gt;0,'KİŞİ BİLGİ'!C18,"")</f>
        <v/>
      </c>
      <c r="D10" s="68" t="str">
        <f>IF('KİŞİ BİLGİ'!B18&lt;&gt;0,'KİŞİ BİLGİ'!B18,"")</f>
        <v/>
      </c>
      <c r="E10" s="70" t="str">
        <f>IF('KİŞİ BİLGİ'!G18&lt;&gt;0,'KİŞİ BİLGİ'!G18,"")</f>
        <v/>
      </c>
      <c r="F10" s="70" t="str">
        <f>IF('KİŞİ BİLGİ'!H18&lt;&gt;0,'KİŞİ BİLGİ'!H18,"")</f>
        <v/>
      </c>
      <c r="G10" s="71">
        <f>IF(BORDRO!AA10&lt;&gt;0,BORDRO!AA10,"")</f>
        <v>1237.5698389794002</v>
      </c>
      <c r="H10" s="71">
        <f t="shared" si="0"/>
        <v>1237.5698389794002</v>
      </c>
    </row>
    <row r="11" spans="1:11" ht="12" customHeight="1">
      <c r="A11" s="53"/>
      <c r="B11" s="67">
        <f>IF('KİŞİ BİLGİ'!A19&lt;&gt;0,'KİŞİ BİLGİ'!A19,"")</f>
        <v>6</v>
      </c>
      <c r="C11" s="69" t="str">
        <f>IF('KİŞİ BİLGİ'!C19&lt;&gt;0,'KİŞİ BİLGİ'!C19,"")</f>
        <v/>
      </c>
      <c r="D11" s="68" t="str">
        <f>IF('KİŞİ BİLGİ'!B19&lt;&gt;0,'KİŞİ BİLGİ'!B19,"")</f>
        <v/>
      </c>
      <c r="E11" s="70" t="str">
        <f>IF('KİŞİ BİLGİ'!G19&lt;&gt;0,'KİŞİ BİLGİ'!G19,"")</f>
        <v/>
      </c>
      <c r="F11" s="70" t="str">
        <f>IF('KİŞİ BİLGİ'!H19&lt;&gt;0,'KİŞİ BİLGİ'!H19,"")</f>
        <v/>
      </c>
      <c r="G11" s="71" t="str">
        <f>IF(BORDRO!AA11&lt;&gt;0,BORDRO!AA11,"")</f>
        <v/>
      </c>
      <c r="H11" s="71" t="str">
        <f t="shared" si="0"/>
        <v/>
      </c>
    </row>
    <row r="12" spans="1:11" ht="12" customHeight="1">
      <c r="A12" s="53"/>
      <c r="B12" s="67">
        <f>IF('KİŞİ BİLGİ'!A20&lt;&gt;0,'KİŞİ BİLGİ'!A20,"")</f>
        <v>7</v>
      </c>
      <c r="C12" s="69" t="str">
        <f>IF('KİŞİ BİLGİ'!C20&lt;&gt;0,'KİŞİ BİLGİ'!C20,"")</f>
        <v/>
      </c>
      <c r="D12" s="68" t="str">
        <f>IF('KİŞİ BİLGİ'!B20&lt;&gt;0,'KİŞİ BİLGİ'!B20,"")</f>
        <v/>
      </c>
      <c r="E12" s="70" t="str">
        <f>IF('KİŞİ BİLGİ'!G20&lt;&gt;0,'KİŞİ BİLGİ'!G20,"")</f>
        <v/>
      </c>
      <c r="F12" s="70" t="str">
        <f>IF('KİŞİ BİLGİ'!H20&lt;&gt;0,'KİŞİ BİLGİ'!H20,"")</f>
        <v/>
      </c>
      <c r="G12" s="71" t="str">
        <f>IF(BORDRO!AA12&lt;&gt;0,BORDRO!AA12,"")</f>
        <v/>
      </c>
      <c r="H12" s="71" t="str">
        <f t="shared" si="0"/>
        <v/>
      </c>
    </row>
    <row r="13" spans="1:11" ht="12" customHeight="1">
      <c r="A13" s="53"/>
      <c r="B13" s="67">
        <f>IF('KİŞİ BİLGİ'!A21&lt;&gt;0,'KİŞİ BİLGİ'!A21,"")</f>
        <v>8</v>
      </c>
      <c r="C13" s="69" t="str">
        <f>IF('KİŞİ BİLGİ'!C21&lt;&gt;0,'KİŞİ BİLGİ'!C21,"")</f>
        <v/>
      </c>
      <c r="D13" s="68" t="str">
        <f>IF('KİŞİ BİLGİ'!B21&lt;&gt;0,'KİŞİ BİLGİ'!B21,"")</f>
        <v/>
      </c>
      <c r="E13" s="70" t="str">
        <f>IF('KİŞİ BİLGİ'!G21&lt;&gt;0,'KİŞİ BİLGİ'!G21,"")</f>
        <v/>
      </c>
      <c r="F13" s="70" t="str">
        <f>IF('KİŞİ BİLGİ'!H21&lt;&gt;0,'KİŞİ BİLGİ'!H21,"")</f>
        <v/>
      </c>
      <c r="G13" s="71" t="str">
        <f>IF(BORDRO!AA13&lt;&gt;0,BORDRO!AA13,"")</f>
        <v/>
      </c>
      <c r="H13" s="71" t="str">
        <f t="shared" si="0"/>
        <v/>
      </c>
    </row>
    <row r="14" spans="1:11" ht="12" customHeight="1">
      <c r="A14" s="53"/>
      <c r="B14" s="67">
        <f>IF('KİŞİ BİLGİ'!A22&lt;&gt;0,'KİŞİ BİLGİ'!A22,"")</f>
        <v>9</v>
      </c>
      <c r="C14" s="69" t="str">
        <f>IF('KİŞİ BİLGİ'!C22&lt;&gt;0,'KİŞİ BİLGİ'!C22,"")</f>
        <v/>
      </c>
      <c r="D14" s="68" t="str">
        <f>IF('KİŞİ BİLGİ'!B22&lt;&gt;0,'KİŞİ BİLGİ'!B22,"")</f>
        <v/>
      </c>
      <c r="E14" s="70" t="str">
        <f>IF('KİŞİ BİLGİ'!G22&lt;&gt;0,'KİŞİ BİLGİ'!G22,"")</f>
        <v/>
      </c>
      <c r="F14" s="70" t="str">
        <f>IF('KİŞİ BİLGİ'!H22&lt;&gt;0,'KİŞİ BİLGİ'!H22,"")</f>
        <v/>
      </c>
      <c r="G14" s="71" t="str">
        <f>IF(BORDRO!AA14&lt;&gt;0,BORDRO!AA14,"")</f>
        <v/>
      </c>
      <c r="H14" s="71" t="str">
        <f t="shared" si="0"/>
        <v/>
      </c>
    </row>
    <row r="15" spans="1:11" ht="12" customHeight="1">
      <c r="A15" s="53"/>
      <c r="B15" s="67">
        <f>IF('KİŞİ BİLGİ'!A23&lt;&gt;0,'KİŞİ BİLGİ'!A23,"")</f>
        <v>10</v>
      </c>
      <c r="C15" s="69" t="str">
        <f>IF('KİŞİ BİLGİ'!C23&lt;&gt;0,'KİŞİ BİLGİ'!C23,"")</f>
        <v/>
      </c>
      <c r="D15" s="68" t="str">
        <f>IF('KİŞİ BİLGİ'!B23&lt;&gt;0,'KİŞİ BİLGİ'!B23,"")</f>
        <v/>
      </c>
      <c r="E15" s="70" t="str">
        <f>IF('KİŞİ BİLGİ'!G23&lt;&gt;0,'KİŞİ BİLGİ'!G23,"")</f>
        <v/>
      </c>
      <c r="F15" s="70" t="str">
        <f>IF('KİŞİ BİLGİ'!H23&lt;&gt;0,'KİŞİ BİLGİ'!H23,"")</f>
        <v/>
      </c>
      <c r="G15" s="71" t="str">
        <f>IF(BORDRO!AA15&lt;&gt;0,BORDRO!AA15,"")</f>
        <v/>
      </c>
      <c r="H15" s="71" t="str">
        <f t="shared" si="0"/>
        <v/>
      </c>
    </row>
    <row r="16" spans="1:11" ht="12" customHeight="1">
      <c r="A16" s="53"/>
      <c r="B16" s="67">
        <f>IF('KİŞİ BİLGİ'!A24&lt;&gt;0,'KİŞİ BİLGİ'!A24,"")</f>
        <v>11</v>
      </c>
      <c r="C16" s="69" t="str">
        <f>IF('KİŞİ BİLGİ'!C24&lt;&gt;0,'KİŞİ BİLGİ'!C24,"")</f>
        <v/>
      </c>
      <c r="D16" s="68" t="str">
        <f>IF('KİŞİ BİLGİ'!B24&lt;&gt;0,'KİŞİ BİLGİ'!B24,"")</f>
        <v/>
      </c>
      <c r="E16" s="70" t="str">
        <f>IF('KİŞİ BİLGİ'!G24&lt;&gt;0,'KİŞİ BİLGİ'!G24,"")</f>
        <v/>
      </c>
      <c r="F16" s="70" t="str">
        <f>IF('KİŞİ BİLGİ'!H24&lt;&gt;0,'KİŞİ BİLGİ'!H24,"")</f>
        <v/>
      </c>
      <c r="G16" s="71" t="str">
        <f>IF(BORDRO!AA16&lt;&gt;0,BORDRO!AA16,"")</f>
        <v/>
      </c>
      <c r="H16" s="71" t="str">
        <f t="shared" si="0"/>
        <v/>
      </c>
      <c r="K16" s="53"/>
    </row>
    <row r="17" spans="1:8" ht="12" customHeight="1">
      <c r="A17" s="53"/>
      <c r="B17" s="67">
        <f>IF('KİŞİ BİLGİ'!A25&lt;&gt;0,'KİŞİ BİLGİ'!A25,"")</f>
        <v>12</v>
      </c>
      <c r="C17" s="69" t="str">
        <f>IF('KİŞİ BİLGİ'!C25&lt;&gt;0,'KİŞİ BİLGİ'!C25,"")</f>
        <v/>
      </c>
      <c r="D17" s="68" t="str">
        <f>IF('KİŞİ BİLGİ'!B25&lt;&gt;0,'KİŞİ BİLGİ'!B25,"")</f>
        <v/>
      </c>
      <c r="E17" s="70" t="str">
        <f>IF('KİŞİ BİLGİ'!G25&lt;&gt;0,'KİŞİ BİLGİ'!G25,"")</f>
        <v/>
      </c>
      <c r="F17" s="70" t="str">
        <f>IF('KİŞİ BİLGİ'!H25&lt;&gt;0,'KİŞİ BİLGİ'!H25,"")</f>
        <v/>
      </c>
      <c r="G17" s="71" t="str">
        <f>IF(BORDRO!AA17&lt;&gt;0,BORDRO!AA17,"")</f>
        <v/>
      </c>
      <c r="H17" s="71" t="str">
        <f t="shared" si="0"/>
        <v/>
      </c>
    </row>
    <row r="18" spans="1:8" ht="12" customHeight="1">
      <c r="A18" s="53"/>
      <c r="B18" s="67">
        <f>IF('KİŞİ BİLGİ'!A26&lt;&gt;0,'KİŞİ BİLGİ'!A26,"")</f>
        <v>13</v>
      </c>
      <c r="C18" s="69" t="str">
        <f>IF('KİŞİ BİLGİ'!C26&lt;&gt;0,'KİŞİ BİLGİ'!C26,"")</f>
        <v/>
      </c>
      <c r="D18" s="68" t="str">
        <f>IF('KİŞİ BİLGİ'!B26&lt;&gt;0,'KİŞİ BİLGİ'!B26,"")</f>
        <v/>
      </c>
      <c r="E18" s="70" t="str">
        <f>IF('KİŞİ BİLGİ'!G26&lt;&gt;0,'KİŞİ BİLGİ'!G26,"")</f>
        <v/>
      </c>
      <c r="F18" s="70" t="str">
        <f>IF('KİŞİ BİLGİ'!H26&lt;&gt;0,'KİŞİ BİLGİ'!H26,"")</f>
        <v/>
      </c>
      <c r="G18" s="71" t="str">
        <f>IF(BORDRO!AA18&lt;&gt;0,BORDRO!AA18,"")</f>
        <v/>
      </c>
      <c r="H18" s="71" t="str">
        <f t="shared" si="0"/>
        <v/>
      </c>
    </row>
    <row r="19" spans="1:8" ht="12" customHeight="1">
      <c r="A19" s="53"/>
      <c r="B19" s="67">
        <f>IF('KİŞİ BİLGİ'!A27&lt;&gt;0,'KİŞİ BİLGİ'!A27,"")</f>
        <v>14</v>
      </c>
      <c r="C19" s="69" t="str">
        <f>IF('KİŞİ BİLGİ'!C27&lt;&gt;0,'KİŞİ BİLGİ'!C27,"")</f>
        <v/>
      </c>
      <c r="D19" s="68" t="str">
        <f>IF('KİŞİ BİLGİ'!B27&lt;&gt;0,'KİŞİ BİLGİ'!B27,"")</f>
        <v/>
      </c>
      <c r="E19" s="70" t="str">
        <f>IF('KİŞİ BİLGİ'!G27&lt;&gt;0,'KİŞİ BİLGİ'!G27,"")</f>
        <v/>
      </c>
      <c r="F19" s="70" t="str">
        <f>IF('KİŞİ BİLGİ'!H27&lt;&gt;0,'KİŞİ BİLGİ'!H27,"")</f>
        <v/>
      </c>
      <c r="G19" s="71" t="str">
        <f>IF(BORDRO!AA19&lt;&gt;0,BORDRO!AA19,"")</f>
        <v/>
      </c>
      <c r="H19" s="71" t="str">
        <f t="shared" si="0"/>
        <v/>
      </c>
    </row>
    <row r="20" spans="1:8" ht="12" customHeight="1">
      <c r="A20" s="53"/>
      <c r="B20" s="67">
        <f>IF('KİŞİ BİLGİ'!A28&lt;&gt;0,'KİŞİ BİLGİ'!A28,"")</f>
        <v>15</v>
      </c>
      <c r="C20" s="69" t="str">
        <f>IF('KİŞİ BİLGİ'!C28&lt;&gt;0,'KİŞİ BİLGİ'!C28,"")</f>
        <v/>
      </c>
      <c r="D20" s="68" t="str">
        <f>IF('KİŞİ BİLGİ'!B28&lt;&gt;0,'KİŞİ BİLGİ'!B28,"")</f>
        <v/>
      </c>
      <c r="E20" s="70" t="str">
        <f>IF('KİŞİ BİLGİ'!G28&lt;&gt;0,'KİŞİ BİLGİ'!G28,"")</f>
        <v/>
      </c>
      <c r="F20" s="70" t="str">
        <f>IF('KİŞİ BİLGİ'!H28&lt;&gt;0,'KİŞİ BİLGİ'!H28,"")</f>
        <v/>
      </c>
      <c r="G20" s="71" t="str">
        <f>IF(BORDRO!AA20&lt;&gt;0,BORDRO!AA20,"")</f>
        <v/>
      </c>
      <c r="H20" s="71" t="str">
        <f t="shared" si="0"/>
        <v/>
      </c>
    </row>
    <row r="21" spans="1:8" ht="12" customHeight="1">
      <c r="A21" s="53"/>
      <c r="B21" s="67">
        <f>IF('KİŞİ BİLGİ'!A29&lt;&gt;0,'KİŞİ BİLGİ'!A29,"")</f>
        <v>16</v>
      </c>
      <c r="C21" s="69" t="str">
        <f>IF('KİŞİ BİLGİ'!C29&lt;&gt;0,'KİŞİ BİLGİ'!C29,"")</f>
        <v/>
      </c>
      <c r="D21" s="68" t="str">
        <f>IF('KİŞİ BİLGİ'!B29&lt;&gt;0,'KİŞİ BİLGİ'!B29,"")</f>
        <v/>
      </c>
      <c r="E21" s="70" t="str">
        <f>IF('KİŞİ BİLGİ'!G29&lt;&gt;0,'KİŞİ BİLGİ'!G29,"")</f>
        <v/>
      </c>
      <c r="F21" s="70" t="str">
        <f>IF('KİŞİ BİLGİ'!H29&lt;&gt;0,'KİŞİ BİLGİ'!H29,"")</f>
        <v/>
      </c>
      <c r="G21" s="71" t="str">
        <f>IF(BORDRO!AA21&lt;&gt;0,BORDRO!AA21,"")</f>
        <v/>
      </c>
      <c r="H21" s="71" t="str">
        <f t="shared" si="0"/>
        <v/>
      </c>
    </row>
    <row r="22" spans="1:8" ht="12" customHeight="1">
      <c r="A22" s="53"/>
      <c r="B22" s="67">
        <f>IF('KİŞİ BİLGİ'!A30&lt;&gt;0,'KİŞİ BİLGİ'!A30,"")</f>
        <v>17</v>
      </c>
      <c r="C22" s="69" t="str">
        <f>IF('KİŞİ BİLGİ'!C30&lt;&gt;0,'KİŞİ BİLGİ'!C30,"")</f>
        <v/>
      </c>
      <c r="D22" s="68" t="str">
        <f>IF('KİŞİ BİLGİ'!B30&lt;&gt;0,'KİŞİ BİLGİ'!B30,"")</f>
        <v/>
      </c>
      <c r="E22" s="70" t="str">
        <f>IF('KİŞİ BİLGİ'!G30&lt;&gt;0,'KİŞİ BİLGİ'!G30,"")</f>
        <v/>
      </c>
      <c r="F22" s="70" t="str">
        <f>IF('KİŞİ BİLGİ'!H30&lt;&gt;0,'KİŞİ BİLGİ'!H30,"")</f>
        <v/>
      </c>
      <c r="G22" s="71" t="str">
        <f>IF(BORDRO!AA22&lt;&gt;0,BORDRO!AA22,"")</f>
        <v/>
      </c>
      <c r="H22" s="71" t="str">
        <f t="shared" si="0"/>
        <v/>
      </c>
    </row>
    <row r="23" spans="1:8" ht="12" customHeight="1">
      <c r="A23" s="53"/>
      <c r="B23" s="67">
        <f>IF('KİŞİ BİLGİ'!A31&lt;&gt;0,'KİŞİ BİLGİ'!A31,"")</f>
        <v>18</v>
      </c>
      <c r="C23" s="69" t="str">
        <f>IF('KİŞİ BİLGİ'!C31&lt;&gt;0,'KİŞİ BİLGİ'!C31,"")</f>
        <v/>
      </c>
      <c r="D23" s="68" t="str">
        <f>IF('KİŞİ BİLGİ'!B31&lt;&gt;0,'KİŞİ BİLGİ'!B31,"")</f>
        <v/>
      </c>
      <c r="E23" s="70" t="str">
        <f>IF('KİŞİ BİLGİ'!G31&lt;&gt;0,'KİŞİ BİLGİ'!G31,"")</f>
        <v/>
      </c>
      <c r="F23" s="70" t="str">
        <f>IF('KİŞİ BİLGİ'!H31&lt;&gt;0,'KİŞİ BİLGİ'!H31,"")</f>
        <v/>
      </c>
      <c r="G23" s="71" t="str">
        <f>IF(BORDRO!AA23&lt;&gt;0,BORDRO!AA23,"")</f>
        <v/>
      </c>
      <c r="H23" s="71" t="str">
        <f t="shared" si="0"/>
        <v/>
      </c>
    </row>
    <row r="24" spans="1:8" ht="12" customHeight="1">
      <c r="A24" s="53"/>
      <c r="B24" s="67">
        <f>IF('KİŞİ BİLGİ'!A32&lt;&gt;0,'KİŞİ BİLGİ'!A32,"")</f>
        <v>19</v>
      </c>
      <c r="C24" s="69" t="str">
        <f>IF('KİŞİ BİLGİ'!C32&lt;&gt;0,'KİŞİ BİLGİ'!C32,"")</f>
        <v/>
      </c>
      <c r="D24" s="68" t="str">
        <f>IF('KİŞİ BİLGİ'!B32&lt;&gt;0,'KİŞİ BİLGİ'!B32,"")</f>
        <v/>
      </c>
      <c r="E24" s="70" t="str">
        <f>IF('KİŞİ BİLGİ'!G32&lt;&gt;0,'KİŞİ BİLGİ'!G32,"")</f>
        <v/>
      </c>
      <c r="F24" s="70" t="str">
        <f>IF('KİŞİ BİLGİ'!H32&lt;&gt;0,'KİŞİ BİLGİ'!H32,"")</f>
        <v/>
      </c>
      <c r="G24" s="71" t="str">
        <f>IF(BORDRO!AA24&lt;&gt;0,BORDRO!AA24,"")</f>
        <v/>
      </c>
      <c r="H24" s="71" t="str">
        <f t="shared" si="0"/>
        <v/>
      </c>
    </row>
    <row r="25" spans="1:8" ht="12" customHeight="1">
      <c r="A25" s="53"/>
      <c r="B25" s="67">
        <f>IF('KİŞİ BİLGİ'!A33&lt;&gt;0,'KİŞİ BİLGİ'!A33,"")</f>
        <v>20</v>
      </c>
      <c r="C25" s="69" t="str">
        <f>IF('KİŞİ BİLGİ'!C33&lt;&gt;0,'KİŞİ BİLGİ'!C33,"")</f>
        <v/>
      </c>
      <c r="D25" s="68" t="str">
        <f>IF('KİŞİ BİLGİ'!B33&lt;&gt;0,'KİŞİ BİLGİ'!B33,"")</f>
        <v/>
      </c>
      <c r="E25" s="70" t="str">
        <f>IF('KİŞİ BİLGİ'!G33&lt;&gt;0,'KİŞİ BİLGİ'!G33,"")</f>
        <v/>
      </c>
      <c r="F25" s="70" t="str">
        <f>IF('KİŞİ BİLGİ'!H33&lt;&gt;0,'KİŞİ BİLGİ'!H33,"")</f>
        <v/>
      </c>
      <c r="G25" s="71" t="str">
        <f>IF(BORDRO!AA25&lt;&gt;0,BORDRO!AA25,"")</f>
        <v/>
      </c>
      <c r="H25" s="71" t="str">
        <f t="shared" si="0"/>
        <v/>
      </c>
    </row>
    <row r="26" spans="1:8" ht="16.5" customHeight="1">
      <c r="A26" s="53"/>
      <c r="B26" s="419" t="s">
        <v>23</v>
      </c>
      <c r="C26" s="420"/>
      <c r="D26" s="420"/>
      <c r="E26" s="420"/>
      <c r="F26" s="428"/>
      <c r="G26" s="72">
        <f>SUM(G6:G25)</f>
        <v>5142.0138380130002</v>
      </c>
      <c r="H26" s="72">
        <f>SUM(H6:H25)</f>
        <v>5142.0138380130002</v>
      </c>
    </row>
    <row r="27" spans="1:8">
      <c r="A27" s="53"/>
    </row>
    <row r="28" spans="1:8">
      <c r="A28" s="53"/>
    </row>
    <row r="29" spans="1:8">
      <c r="A29" s="53"/>
    </row>
    <row r="30" spans="1:8">
      <c r="A30" s="53"/>
    </row>
  </sheetData>
  <sheetProtection password="CEE9" sheet="1" objects="1" scenarios="1" formatCells="0" formatColumns="0"/>
  <mergeCells count="10">
    <mergeCell ref="H2:H3"/>
    <mergeCell ref="B3:C3"/>
    <mergeCell ref="D4:F4"/>
    <mergeCell ref="B26:F26"/>
    <mergeCell ref="B1:H1"/>
    <mergeCell ref="B2:C2"/>
    <mergeCell ref="B4:C4"/>
    <mergeCell ref="D2:F2"/>
    <mergeCell ref="D3:F3"/>
    <mergeCell ref="G2:G4"/>
  </mergeCells>
  <phoneticPr fontId="2" type="noConversion"/>
  <pageMargins left="0.23622047244094491" right="0.23622047244094491" top="0.55118110236220474" bottom="0.5511811023622047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G15" sqref="G15"/>
    </sheetView>
  </sheetViews>
  <sheetFormatPr defaultColWidth="9.140625" defaultRowHeight="12.75"/>
  <cols>
    <col min="1" max="1" width="4.7109375" style="240" customWidth="1"/>
    <col min="2" max="2" width="15.85546875" style="240" customWidth="1"/>
    <col min="3" max="3" width="21.5703125" style="240" customWidth="1"/>
    <col min="4" max="4" width="18" style="240" customWidth="1"/>
    <col min="5" max="5" width="17" style="240" customWidth="1"/>
    <col min="6" max="6" width="17.140625" style="240" customWidth="1"/>
    <col min="7" max="7" width="11.140625" style="240" customWidth="1"/>
    <col min="8" max="8" width="10.42578125" style="240" customWidth="1"/>
    <col min="9" max="9" width="13.85546875" style="240" customWidth="1"/>
    <col min="10" max="10" width="12" style="240" customWidth="1"/>
    <col min="11" max="16384" width="9.140625" style="240"/>
  </cols>
  <sheetData>
    <row r="2" spans="1:10">
      <c r="B2" s="241" t="s">
        <v>132</v>
      </c>
      <c r="C2" s="438" t="str">
        <f>'KİŞİ BİLGİ'!$B$11</f>
        <v>ATATÜRK ANADOLU LİSESİ MÜDÜRLÜĞÜ</v>
      </c>
      <c r="D2" s="438"/>
      <c r="E2" s="438"/>
    </row>
    <row r="3" spans="1:10">
      <c r="B3" s="242" t="s">
        <v>133</v>
      </c>
      <c r="C3" s="243" t="str">
        <f>'KİŞİ BİLGİ'!$K$12</f>
        <v>HAZİRAN</v>
      </c>
      <c r="D3" s="244">
        <f>'KİŞİ BİLGİ'!$L$12</f>
        <v>2016</v>
      </c>
    </row>
    <row r="4" spans="1:10" ht="49.5" customHeight="1">
      <c r="A4" s="435" t="s">
        <v>77</v>
      </c>
      <c r="B4" s="435"/>
      <c r="C4" s="435"/>
      <c r="D4" s="435"/>
      <c r="E4" s="435"/>
      <c r="F4" s="435"/>
      <c r="G4" s="435"/>
      <c r="H4" s="435"/>
      <c r="I4" s="435"/>
    </row>
    <row r="5" spans="1:10" s="246" customFormat="1" ht="33.75">
      <c r="A5" s="245" t="s">
        <v>78</v>
      </c>
      <c r="B5" s="245" t="s">
        <v>73</v>
      </c>
      <c r="C5" s="245" t="s">
        <v>0</v>
      </c>
      <c r="D5" s="231" t="s">
        <v>74</v>
      </c>
      <c r="E5" s="231" t="s">
        <v>80</v>
      </c>
      <c r="F5" s="231" t="s">
        <v>75</v>
      </c>
      <c r="G5" s="231" t="s">
        <v>215</v>
      </c>
      <c r="H5" s="231" t="s">
        <v>216</v>
      </c>
      <c r="I5" s="231" t="s">
        <v>76</v>
      </c>
      <c r="J5" s="231" t="s">
        <v>214</v>
      </c>
    </row>
    <row r="6" spans="1:10" ht="18.75" customHeight="1">
      <c r="A6" s="247">
        <v>1</v>
      </c>
      <c r="B6" s="150"/>
      <c r="C6" s="150"/>
      <c r="D6" s="151"/>
      <c r="E6" s="150"/>
      <c r="F6" s="152"/>
      <c r="G6" s="152"/>
      <c r="H6" s="152"/>
      <c r="I6" s="150"/>
      <c r="J6" s="151"/>
    </row>
    <row r="7" spans="1:10" ht="18.75" customHeight="1">
      <c r="A7" s="247">
        <v>2</v>
      </c>
      <c r="B7" s="150"/>
      <c r="C7" s="150"/>
      <c r="D7" s="151"/>
      <c r="E7" s="150"/>
      <c r="F7" s="153"/>
      <c r="G7" s="154"/>
      <c r="H7" s="152"/>
      <c r="I7" s="150"/>
      <c r="J7" s="151"/>
    </row>
    <row r="8" spans="1:10" ht="18.75" customHeight="1">
      <c r="A8" s="247">
        <v>3</v>
      </c>
      <c r="B8" s="150"/>
      <c r="C8" s="150"/>
      <c r="D8" s="151"/>
      <c r="E8" s="150"/>
      <c r="F8" s="150"/>
      <c r="G8" s="154"/>
      <c r="H8" s="150"/>
      <c r="I8" s="150"/>
      <c r="J8" s="151"/>
    </row>
    <row r="9" spans="1:10" ht="18.75" customHeight="1">
      <c r="A9" s="436" t="s">
        <v>79</v>
      </c>
      <c r="B9" s="437"/>
      <c r="C9" s="437"/>
      <c r="D9" s="437"/>
      <c r="E9" s="437"/>
      <c r="F9" s="437"/>
      <c r="G9" s="154"/>
    </row>
  </sheetData>
  <sheetProtection password="CEE9" sheet="1" objects="1" scenarios="1"/>
  <mergeCells count="3">
    <mergeCell ref="A4:I4"/>
    <mergeCell ref="A9:F9"/>
    <mergeCell ref="C2:E2"/>
  </mergeCells>
  <phoneticPr fontId="2" type="noConversion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topLeftCell="A10" workbookViewId="0">
      <selection activeCell="G15" sqref="G15"/>
    </sheetView>
  </sheetViews>
  <sheetFormatPr defaultColWidth="8.85546875" defaultRowHeight="12.75"/>
  <cols>
    <col min="1" max="1" width="8.85546875" style="12"/>
    <col min="2" max="2" width="4.7109375" style="12" customWidth="1"/>
    <col min="3" max="3" width="4.7109375" style="45" customWidth="1"/>
    <col min="4" max="6" width="9.28515625" style="12" customWidth="1"/>
    <col min="7" max="7" width="2.140625" style="12" customWidth="1"/>
    <col min="8" max="8" width="35.140625" style="12" customWidth="1"/>
    <col min="9" max="9" width="15.28515625" style="12" customWidth="1"/>
    <col min="10" max="10" width="3" style="12" customWidth="1"/>
    <col min="11" max="11" width="8.85546875" style="12" customWidth="1"/>
    <col min="12" max="12" width="10.42578125" style="12" customWidth="1"/>
    <col min="13" max="13" width="10.7109375" style="12" customWidth="1"/>
    <col min="14" max="14" width="8" style="12" customWidth="1"/>
    <col min="15" max="15" width="11.42578125" style="12" customWidth="1"/>
    <col min="16" max="16" width="30.5703125" style="12" bestFit="1" customWidth="1"/>
    <col min="17" max="16384" width="8.85546875" style="12"/>
  </cols>
  <sheetData>
    <row r="1" spans="2:19" s="8" customFormat="1" ht="69.75" customHeight="1">
      <c r="B1" s="441" t="s">
        <v>90</v>
      </c>
      <c r="C1" s="442"/>
      <c r="D1" s="442"/>
      <c r="E1" s="442"/>
      <c r="F1" s="443"/>
      <c r="G1" s="9"/>
      <c r="H1" s="9"/>
      <c r="I1" s="9"/>
      <c r="J1" s="9"/>
      <c r="K1" s="10" t="s">
        <v>91</v>
      </c>
      <c r="L1" s="10" t="s">
        <v>92</v>
      </c>
      <c r="M1" s="10" t="s">
        <v>93</v>
      </c>
      <c r="N1" s="10" t="s">
        <v>94</v>
      </c>
      <c r="O1" s="11" t="s">
        <v>95</v>
      </c>
    </row>
    <row r="2" spans="2:19" ht="18.75">
      <c r="B2" s="444" t="s">
        <v>96</v>
      </c>
      <c r="C2" s="445"/>
      <c r="D2" s="445"/>
      <c r="E2" s="445"/>
      <c r="F2" s="446"/>
      <c r="G2" s="13"/>
      <c r="H2" s="447" t="s">
        <v>97</v>
      </c>
      <c r="I2" s="447"/>
      <c r="J2" s="14"/>
      <c r="K2" s="448" t="s">
        <v>98</v>
      </c>
      <c r="L2" s="448"/>
      <c r="M2" s="448"/>
      <c r="N2" s="448"/>
      <c r="O2" s="98">
        <f>ROUND(D4*30,2)</f>
        <v>220.73</v>
      </c>
      <c r="P2" s="99" t="s">
        <v>160</v>
      </c>
    </row>
    <row r="3" spans="2:19" ht="30">
      <c r="B3" s="15"/>
      <c r="C3" s="16"/>
      <c r="D3" s="17" t="s">
        <v>99</v>
      </c>
      <c r="E3" s="17" t="s">
        <v>100</v>
      </c>
      <c r="F3" s="17" t="s">
        <v>101</v>
      </c>
      <c r="G3" s="13"/>
      <c r="H3" s="449" t="s">
        <v>102</v>
      </c>
      <c r="I3" s="450" t="s">
        <v>103</v>
      </c>
      <c r="J3" s="14"/>
      <c r="K3" s="453" t="s">
        <v>104</v>
      </c>
      <c r="L3" s="453"/>
      <c r="M3" s="453"/>
      <c r="N3" s="453"/>
      <c r="O3" s="98">
        <f>ROUND(F4*30,2)</f>
        <v>220.73</v>
      </c>
      <c r="P3" s="99" t="s">
        <v>161</v>
      </c>
    </row>
    <row r="4" spans="2:19" ht="24" customHeight="1">
      <c r="B4" s="454" t="s">
        <v>105</v>
      </c>
      <c r="C4" s="19">
        <v>0</v>
      </c>
      <c r="D4" s="20">
        <f>ROUND($I$6/30*$I$8*$I$7,4)</f>
        <v>7.3574999999999999</v>
      </c>
      <c r="E4" s="20">
        <f>ROUND($I$6/30*($I$8+$I$9)*$I$7,4)</f>
        <v>8.8290000000000006</v>
      </c>
      <c r="F4" s="20">
        <f>ROUND($I$6/30*$I$8*$I$7,4)</f>
        <v>7.3574999999999999</v>
      </c>
      <c r="G4" s="13"/>
      <c r="H4" s="449"/>
      <c r="I4" s="451"/>
      <c r="J4" s="14"/>
      <c r="K4" s="448" t="s">
        <v>106</v>
      </c>
      <c r="L4" s="448"/>
      <c r="M4" s="448"/>
      <c r="N4" s="448"/>
      <c r="O4" s="98">
        <f>ROUND(E4*30,2)</f>
        <v>264.87</v>
      </c>
      <c r="P4" s="99" t="s">
        <v>162</v>
      </c>
    </row>
    <row r="5" spans="2:19" ht="24" customHeight="1">
      <c r="B5" s="454"/>
      <c r="C5" s="19">
        <v>1</v>
      </c>
      <c r="D5" s="21"/>
      <c r="E5" s="20">
        <f>ROUND($I$6/30*($I$8+$I$9+$I$10)*$I$7,4)</f>
        <v>9.9326000000000008</v>
      </c>
      <c r="F5" s="20">
        <f>ROUND($I$6/30*($I$8+$I$10)*$I$7,4)</f>
        <v>8.4611000000000001</v>
      </c>
      <c r="G5" s="13"/>
      <c r="H5" s="449"/>
      <c r="I5" s="452"/>
      <c r="J5" s="14"/>
      <c r="K5" s="22" t="s">
        <v>107</v>
      </c>
      <c r="L5" s="18"/>
      <c r="M5" s="18"/>
      <c r="N5" s="23"/>
      <c r="O5" s="98">
        <f>ROUND(E5*30,2)</f>
        <v>297.98</v>
      </c>
      <c r="P5" s="99" t="s">
        <v>163</v>
      </c>
    </row>
    <row r="6" spans="2:19" ht="24" customHeight="1">
      <c r="B6" s="454"/>
      <c r="C6" s="19">
        <v>2</v>
      </c>
      <c r="D6" s="21"/>
      <c r="E6" s="20">
        <f>ROUND($I$6/30*($I$8+$I$9+$I$10*2)*$I$7,4)</f>
        <v>11.036300000000001</v>
      </c>
      <c r="F6" s="20">
        <f>ROUND($I$6/30*($I$8+$I$10*2)*$I$7,4)</f>
        <v>9.5648</v>
      </c>
      <c r="G6" s="13"/>
      <c r="H6" s="24" t="s">
        <v>108</v>
      </c>
      <c r="I6" s="25">
        <f>'KİŞİ BİLGİ'!$H$12</f>
        <v>2943</v>
      </c>
      <c r="J6" s="14"/>
      <c r="K6" s="22" t="s">
        <v>109</v>
      </c>
      <c r="L6" s="18"/>
      <c r="M6" s="18"/>
      <c r="N6" s="23"/>
      <c r="O6" s="98">
        <f>ROUND(E6*30,2)</f>
        <v>331.09</v>
      </c>
      <c r="P6" s="99" t="s">
        <v>164</v>
      </c>
    </row>
    <row r="7" spans="2:19" ht="30.75" customHeight="1">
      <c r="B7" s="454"/>
      <c r="C7" s="26">
        <v>3</v>
      </c>
      <c r="D7" s="27"/>
      <c r="E7" s="20">
        <f>ROUND($I$6/30*($I$8+$I$9+$I$10*2+$I$11)*$I$7,4)</f>
        <v>12.5078</v>
      </c>
      <c r="F7" s="20">
        <f>ROUND($I$6/30*($I$8+$I$10*2+$I$11)*$I$7,4)</f>
        <v>11.036300000000001</v>
      </c>
      <c r="G7" s="13"/>
      <c r="H7" s="24" t="s">
        <v>110</v>
      </c>
      <c r="I7" s="28">
        <v>0.15</v>
      </c>
      <c r="J7" s="14"/>
      <c r="K7" s="22" t="s">
        <v>111</v>
      </c>
      <c r="L7" s="18"/>
      <c r="M7" s="18"/>
      <c r="N7" s="23"/>
      <c r="O7" s="98">
        <f>ROUND(E7*30,2)</f>
        <v>375.23</v>
      </c>
      <c r="P7" s="99" t="s">
        <v>165</v>
      </c>
    </row>
    <row r="8" spans="2:19" ht="24" customHeight="1">
      <c r="B8" s="454"/>
      <c r="C8" s="26">
        <v>4</v>
      </c>
      <c r="D8" s="29"/>
      <c r="E8" s="20">
        <f>ROUND($I$6/30*($I$8+$I$9+$I$10*2+$I$11)*$I$7,4)</f>
        <v>12.5078</v>
      </c>
      <c r="F8" s="20">
        <f>ROUND($I$6/30*($I$8+$I$10*2+$I$11+$I$12)*$I$7,4)</f>
        <v>11.772</v>
      </c>
      <c r="G8" s="13"/>
      <c r="H8" s="30" t="s">
        <v>112</v>
      </c>
      <c r="I8" s="31">
        <v>0.5</v>
      </c>
      <c r="J8" s="14"/>
      <c r="K8" s="22" t="s">
        <v>113</v>
      </c>
      <c r="L8" s="18"/>
      <c r="M8" s="18"/>
      <c r="N8" s="23"/>
      <c r="O8" s="98">
        <f>ROUND(E8*30,2)</f>
        <v>375.23</v>
      </c>
      <c r="P8" s="99" t="s">
        <v>166</v>
      </c>
    </row>
    <row r="9" spans="2:19" ht="36.75" customHeight="1">
      <c r="B9" s="454"/>
      <c r="C9" s="26">
        <v>5</v>
      </c>
      <c r="D9" s="32"/>
      <c r="E9" s="20">
        <f>ROUND($I$6/30*($I$8+$I$9+$I$10*2+$I$11*3)*$I$7,4)</f>
        <v>15.450799999999999</v>
      </c>
      <c r="F9" s="20">
        <f>ROUND($I$6/30*($I$8+$I$10*2+$I$11+$I$12*2)*$I$7,4)</f>
        <v>12.5078</v>
      </c>
      <c r="G9" s="13"/>
      <c r="H9" s="24" t="s">
        <v>114</v>
      </c>
      <c r="I9" s="31">
        <v>0.1</v>
      </c>
      <c r="J9" s="14"/>
      <c r="K9" s="22" t="s">
        <v>115</v>
      </c>
      <c r="L9" s="18"/>
      <c r="M9" s="18"/>
      <c r="N9" s="23"/>
      <c r="O9" s="98">
        <f>ROUND(F5*30,2)</f>
        <v>253.83</v>
      </c>
      <c r="P9" s="99" t="s">
        <v>167</v>
      </c>
    </row>
    <row r="10" spans="2:19" ht="30" customHeight="1">
      <c r="B10" s="454"/>
      <c r="C10" s="26">
        <v>6</v>
      </c>
      <c r="D10" s="32"/>
      <c r="E10" s="20">
        <f>ROUND($I$6/30*($I$8+$I$9+$I$10*2+$I$11*4)*$I$7,4)</f>
        <v>16.9223</v>
      </c>
      <c r="F10" s="20">
        <f>ROUND($I$6/30*($I$8+$I$10*2+$I$11*4)*$I$7,4)</f>
        <v>15.450799999999999</v>
      </c>
      <c r="G10" s="13"/>
      <c r="H10" s="33" t="s">
        <v>116</v>
      </c>
      <c r="I10" s="34">
        <v>7.4999999999999997E-2</v>
      </c>
      <c r="J10" s="14"/>
      <c r="K10" s="22" t="s">
        <v>117</v>
      </c>
      <c r="L10" s="18"/>
      <c r="M10" s="18"/>
      <c r="N10" s="23"/>
      <c r="O10" s="98">
        <f>ROUND(F6*30,2)</f>
        <v>286.94</v>
      </c>
      <c r="P10" s="99" t="s">
        <v>168</v>
      </c>
    </row>
    <row r="11" spans="2:19" ht="39" customHeight="1">
      <c r="B11" s="454"/>
      <c r="C11" s="26">
        <v>7</v>
      </c>
      <c r="D11" s="32"/>
      <c r="E11" s="20">
        <f>ROUND($I$6/30*($I$8+$I$9+$I$10*2+$I$11*5)*$I$7,4)</f>
        <v>18.393799999999999</v>
      </c>
      <c r="F11" s="20">
        <f>ROUND($I$6/30*($I$8+$I$10*2+$I$11)*$I$7,4)</f>
        <v>11.036300000000001</v>
      </c>
      <c r="G11" s="13"/>
      <c r="H11" s="33" t="s">
        <v>155</v>
      </c>
      <c r="I11" s="31">
        <v>0.1</v>
      </c>
      <c r="J11" s="14"/>
      <c r="K11" s="22" t="s">
        <v>118</v>
      </c>
      <c r="L11" s="18"/>
      <c r="M11" s="18"/>
      <c r="N11" s="23"/>
      <c r="O11" s="98">
        <f>ROUND(F7*30,2)</f>
        <v>331.09</v>
      </c>
      <c r="P11" s="99" t="s">
        <v>169</v>
      </c>
    </row>
    <row r="12" spans="2:19" ht="24" customHeight="1">
      <c r="B12" s="454"/>
      <c r="C12" s="26">
        <v>8</v>
      </c>
      <c r="D12" s="32"/>
      <c r="E12" s="20">
        <f>ROUND($I$6/30*($I$8+$I$9+$I$10*2+$I$11*6)*$I$7,4)</f>
        <v>19.865300000000001</v>
      </c>
      <c r="F12" s="20">
        <f>ROUND($I$6/30*($I$8+$I$10*2+$I$11+$I$12)*$I$7,4)</f>
        <v>11.772</v>
      </c>
      <c r="G12" s="13"/>
      <c r="H12" s="33" t="s">
        <v>156</v>
      </c>
      <c r="I12" s="31">
        <v>0.05</v>
      </c>
      <c r="J12" s="13"/>
      <c r="K12" s="22" t="s">
        <v>119</v>
      </c>
      <c r="L12" s="18"/>
      <c r="M12" s="18"/>
      <c r="N12" s="23"/>
      <c r="O12" s="98">
        <f>ROUND(F8*30,2)</f>
        <v>353.16</v>
      </c>
      <c r="P12" s="99" t="s">
        <v>170</v>
      </c>
    </row>
    <row r="13" spans="2:19" ht="24" customHeight="1">
      <c r="B13" s="454"/>
      <c r="C13" s="26">
        <v>9</v>
      </c>
      <c r="D13" s="32"/>
      <c r="E13" s="20">
        <f>ROUND($I$6/30*($I$8+$I$9+$I$10*2+$I$11*7)*$I$7,4)</f>
        <v>21.3368</v>
      </c>
      <c r="F13" s="20">
        <f>ROUND($I$6/30*($I$8+$I$10*2+$I$11*7)*$I$7,4)</f>
        <v>19.865300000000001</v>
      </c>
      <c r="G13" s="13"/>
      <c r="H13" s="13"/>
      <c r="I13" s="35"/>
      <c r="J13" s="13"/>
      <c r="K13" s="22" t="s">
        <v>157</v>
      </c>
      <c r="L13" s="18"/>
      <c r="M13" s="18"/>
      <c r="N13" s="23"/>
      <c r="O13" s="98">
        <f>ROUND(F9*30,2)</f>
        <v>375.23</v>
      </c>
      <c r="P13" s="99" t="s">
        <v>171</v>
      </c>
    </row>
    <row r="14" spans="2:19" ht="24" customHeight="1">
      <c r="B14" s="454"/>
      <c r="C14" s="26">
        <v>10</v>
      </c>
      <c r="D14" s="32"/>
      <c r="E14" s="20">
        <f>ROUND($I$6/30*($I$8+$I$9+$I$10*2+$I$11*8)*$I$7,4)</f>
        <v>22.808299999999999</v>
      </c>
      <c r="F14" s="20">
        <f>ROUND($I$6/30*($I$8+$I$10*2+$I$11*8)*$I$7,4)</f>
        <v>21.3368</v>
      </c>
      <c r="G14" s="13"/>
      <c r="H14" s="13"/>
      <c r="I14" s="13"/>
      <c r="J14" s="13"/>
      <c r="K14" s="37"/>
      <c r="L14" s="13"/>
      <c r="M14" s="13"/>
      <c r="N14" s="13"/>
      <c r="O14" s="36"/>
    </row>
    <row r="15" spans="2:19">
      <c r="B15" s="38"/>
      <c r="C15" s="39"/>
      <c r="D15" s="13"/>
      <c r="E15" s="13"/>
      <c r="F15" s="13"/>
      <c r="G15" s="13"/>
      <c r="H15" s="439" t="s">
        <v>120</v>
      </c>
      <c r="I15" s="439"/>
      <c r="J15" s="439"/>
      <c r="K15" s="439"/>
      <c r="L15" s="439"/>
      <c r="M15" s="439"/>
      <c r="N15" s="439"/>
      <c r="O15" s="440"/>
      <c r="S15" s="12" t="s">
        <v>121</v>
      </c>
    </row>
    <row r="16" spans="2:19" ht="13.15" customHeight="1">
      <c r="B16" s="38"/>
      <c r="C16" s="39"/>
      <c r="D16" s="13"/>
      <c r="E16" s="13"/>
      <c r="F16" s="13"/>
      <c r="G16" s="13"/>
      <c r="H16" s="13"/>
      <c r="I16" s="37"/>
      <c r="J16" s="37"/>
      <c r="K16" s="37"/>
      <c r="L16" s="13"/>
      <c r="M16" s="13"/>
      <c r="N16" s="13"/>
      <c r="O16" s="36"/>
    </row>
    <row r="17" spans="2:15">
      <c r="B17" s="38"/>
      <c r="C17" s="39"/>
      <c r="D17" s="13"/>
      <c r="E17" s="13"/>
      <c r="F17" s="13"/>
      <c r="G17" s="13"/>
      <c r="H17" s="13"/>
      <c r="I17" s="37"/>
      <c r="J17" s="37"/>
      <c r="K17" s="37"/>
      <c r="L17" s="13"/>
      <c r="M17" s="13"/>
      <c r="N17" s="13"/>
      <c r="O17" s="36"/>
    </row>
    <row r="18" spans="2:15">
      <c r="B18" s="38"/>
      <c r="C18" s="39"/>
      <c r="D18" s="13"/>
      <c r="E18" s="13"/>
      <c r="F18" s="13"/>
      <c r="G18" s="13"/>
      <c r="H18" s="37"/>
      <c r="I18" s="37"/>
      <c r="J18" s="37"/>
      <c r="K18" s="37"/>
      <c r="L18" s="13"/>
      <c r="M18" s="13"/>
      <c r="N18" s="13"/>
      <c r="O18" s="36"/>
    </row>
    <row r="19" spans="2:15">
      <c r="B19" s="38"/>
      <c r="C19" s="39"/>
      <c r="D19" s="13"/>
      <c r="E19" s="13"/>
      <c r="F19" s="13"/>
      <c r="G19" s="13"/>
      <c r="H19" s="37"/>
      <c r="I19" s="37"/>
      <c r="J19" s="37"/>
      <c r="K19" s="37"/>
      <c r="L19" s="13"/>
      <c r="M19" s="13" t="s">
        <v>121</v>
      </c>
      <c r="N19" s="13"/>
      <c r="O19" s="36"/>
    </row>
    <row r="20" spans="2:15">
      <c r="B20" s="38"/>
      <c r="C20" s="39"/>
      <c r="D20" s="13"/>
      <c r="E20" s="13"/>
      <c r="F20" s="13"/>
      <c r="G20" s="13"/>
      <c r="H20" s="37"/>
      <c r="I20" s="37"/>
      <c r="J20" s="37"/>
      <c r="K20" s="37"/>
      <c r="L20" s="13"/>
      <c r="M20" s="13"/>
      <c r="N20" s="13"/>
      <c r="O20" s="36"/>
    </row>
    <row r="21" spans="2:15">
      <c r="B21" s="38"/>
      <c r="C21" s="39"/>
      <c r="D21" s="13"/>
      <c r="E21" s="13"/>
      <c r="F21" s="13"/>
      <c r="G21" s="13"/>
      <c r="H21" s="37"/>
      <c r="I21" s="37"/>
      <c r="J21" s="37"/>
      <c r="K21" s="37"/>
      <c r="L21" s="13"/>
      <c r="M21" s="13"/>
      <c r="N21" s="13"/>
      <c r="O21" s="36"/>
    </row>
    <row r="22" spans="2:15" ht="13.5" thickBot="1">
      <c r="B22" s="40"/>
      <c r="C22" s="41"/>
      <c r="D22" s="42"/>
      <c r="E22" s="42"/>
      <c r="F22" s="42"/>
      <c r="G22" s="42"/>
      <c r="H22" s="43"/>
      <c r="I22" s="43"/>
      <c r="J22" s="43"/>
      <c r="K22" s="43"/>
      <c r="L22" s="42"/>
      <c r="M22" s="42"/>
      <c r="N22" s="42"/>
      <c r="O22" s="44"/>
    </row>
    <row r="23" spans="2:15">
      <c r="H23" s="46"/>
      <c r="I23" s="46"/>
      <c r="J23" s="46"/>
      <c r="K23" s="46"/>
    </row>
    <row r="24" spans="2:15">
      <c r="H24" s="46"/>
      <c r="I24" s="46"/>
      <c r="J24" s="46"/>
      <c r="K24" s="46"/>
    </row>
    <row r="25" spans="2:15">
      <c r="H25" s="46"/>
      <c r="I25" s="46"/>
      <c r="J25" s="46"/>
      <c r="K25" s="46"/>
    </row>
    <row r="26" spans="2:15">
      <c r="H26" s="46"/>
      <c r="I26" s="46"/>
      <c r="J26" s="46"/>
      <c r="K26" s="46"/>
    </row>
    <row r="27" spans="2:15">
      <c r="H27" s="46"/>
      <c r="I27" s="46"/>
      <c r="J27" s="46"/>
      <c r="K27" s="46"/>
    </row>
    <row r="28" spans="2:15">
      <c r="I28" s="46"/>
      <c r="J28" s="46"/>
      <c r="K28" s="46"/>
    </row>
    <row r="29" spans="2:15">
      <c r="I29" s="46"/>
      <c r="J29" s="46"/>
      <c r="K29" s="46"/>
    </row>
    <row r="30" spans="2:15">
      <c r="I30" s="46"/>
      <c r="J30" s="46"/>
      <c r="K30" s="46"/>
    </row>
  </sheetData>
  <sheetProtection password="CEE9" sheet="1" objects="1" scenarios="1" selectLockedCells="1" selectUnlockedCells="1"/>
  <mergeCells count="10">
    <mergeCell ref="H15:O15"/>
    <mergeCell ref="B1:F1"/>
    <mergeCell ref="B2:F2"/>
    <mergeCell ref="H2:I2"/>
    <mergeCell ref="K2:N2"/>
    <mergeCell ref="H3:H5"/>
    <mergeCell ref="I3:I5"/>
    <mergeCell ref="K3:N3"/>
    <mergeCell ref="B4:B14"/>
    <mergeCell ref="K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3</vt:i4>
      </vt:variant>
    </vt:vector>
  </HeadingPairs>
  <TitlesOfParts>
    <vt:vector size="12" baseType="lpstr">
      <vt:lpstr>AÇIKLAMALAR</vt:lpstr>
      <vt:lpstr>KİŞİ BİLGİ</vt:lpstr>
      <vt:lpstr>NAKİT</vt:lpstr>
      <vt:lpstr>BORDRO</vt:lpstr>
      <vt:lpstr>SSK KESİNTİ</vt:lpstr>
      <vt:lpstr>A.G.İ.</vt:lpstr>
      <vt:lpstr>BANKA LİSTESİ</vt:lpstr>
      <vt:lpstr>İCRA</vt:lpstr>
      <vt:lpstr>A.G.İ.TABLO</vt:lpstr>
      <vt:lpstr>BORDRO!Yazdırma_Alanı</vt:lpstr>
      <vt:lpstr>'KİŞİ BİLGİ'!Yazdırma_Alanı</vt:lpstr>
      <vt:lpstr>NAKİT!Yazdırma_Alanı</vt:lpstr>
    </vt:vector>
  </TitlesOfParts>
  <Company>Microsoft Windows 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XP_Pro</dc:creator>
  <cp:lastModifiedBy>MEBBİS</cp:lastModifiedBy>
  <cp:lastPrinted>2016-07-18T13:13:09Z</cp:lastPrinted>
  <dcterms:created xsi:type="dcterms:W3CDTF">2010-02-17T13:09:12Z</dcterms:created>
  <dcterms:modified xsi:type="dcterms:W3CDTF">2020-01-31T08:02:26Z</dcterms:modified>
</cp:coreProperties>
</file>